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K:\RH reports\RMI CMRT 6.5 - 6.6\"/>
    </mc:Choice>
  </mc:AlternateContent>
  <xr:revisionPtr revIDLastSave="0" documentId="8_{47713B4F-CB0B-4225-AA69-6B24A929554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<sst xmlns="http://schemas.openxmlformats.org/spreadsheetml/2006/main" count="22544" uniqueCount="15892">
  <si>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</si>
  <si>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</si>
  <si>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</si>
  <si>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</si>
  <si>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</si>
  <si>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</si>
  <si>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</si>
  <si>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</si>
  <si>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</si>
  <si>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</si>
  <si>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</si>
  <si>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</si>
  <si>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</si>
  <si>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</si>
  <si>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</si>
  <si>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</si>
  <si>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</si>
  <si>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</si>
  <si>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</si>
  <si>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</si>
  <si>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</si>
  <si>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</si>
  <si>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</si>
  <si>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</si>
  <si>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</si>
  <si>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</si>
  <si>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</si>
  <si>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</si>
  <si>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</si>
  <si>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</si>
  <si>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</si>
  <si>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</si>
  <si>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</si>
  <si>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</si>
  <si>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</si>
  <si>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</si>
  <si>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</si>
  <si>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</si>
  <si>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</si>
  <si>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</si>
  <si>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</si>
  <si>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</si>
  <si>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</si>
  <si>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</si>
  <si>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</si>
  <si>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</si>
  <si>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</si>
  <si>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</si>
  <si>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</si>
  <si>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</si>
  <si>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</si>
  <si>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</si>
  <si>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</si>
  <si>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</si>
  <si>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</si>
  <si>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</si>
  <si>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</si>
  <si>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</si>
  <si>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</si>
  <si>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</si>
  <si>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</si>
  <si>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</si>
  <si>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</si>
  <si>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</si>
  <si>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</si>
  <si>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</si>
  <si>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</si>
  <si>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</si>
  <si>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</si>
  <si>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</si>
  <si>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</si>
  <si>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</si>
  <si>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</si>
  <si>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</si>
  <si>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</si>
  <si>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</si>
  <si>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</si>
  <si>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</si>
  <si>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</si>
  <si>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</si>
  <si>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</si>
  <si>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</si>
  <si>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</si>
  <si>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</si>
  <si>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</si>
  <si>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</si>
  <si>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</si>
  <si>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</si>
  <si>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</si>
  <si>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</si>
  <si>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</si>
  <si>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</si>
  <si>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</si>
  <si>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</si>
  <si>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</si>
  <si>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</si>
  <si>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</si>
  <si>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</si>
  <si>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</si>
  <si>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</si>
  <si>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</si>
  <si>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</si>
  <si>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</si>
  <si>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</si>
  <si>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</si>
  <si>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</si>
  <si>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</si>
  <si>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</si>
  <si>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</si>
  <si>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</si>
  <si>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</si>
  <si>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</si>
  <si>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</si>
  <si>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</si>
  <si>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</si>
  <si>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</si>
  <si>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</si>
  <si>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</si>
  <si>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</si>
  <si>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</si>
  <si>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</si>
  <si>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</si>
  <si>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</si>
  <si>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</si>
  <si>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</si>
  <si>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</si>
  <si>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</si>
  <si>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</si>
  <si>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</si>
  <si>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</si>
  <si>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</si>
  <si>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</si>
  <si>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</si>
  <si>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</si>
  <si>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</si>
  <si>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</si>
  <si>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</si>
  <si>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</si>
  <si>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</si>
  <si>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</si>
  <si>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</si>
  <si>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</si>
  <si>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</si>
  <si>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</si>
  <si>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</si>
  <si>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</si>
  <si>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</si>
  <si>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</si>
  <si>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</si>
  <si>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</si>
  <si>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</si>
  <si>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</si>
  <si>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</si>
  <si>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</si>
  <si>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</si>
  <si>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</si>
  <si>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</si>
  <si>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</si>
  <si>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</si>
  <si>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</si>
  <si>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</si>
  <si>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</si>
  <si>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</si>
  <si>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</si>
  <si>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</si>
  <si>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</si>
  <si>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</si>
  <si>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</si>
  <si>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</si>
  <si>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</si>
  <si>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</si>
  <si>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</si>
  <si>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</si>
  <si>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</si>
  <si>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</si>
  <si>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</si>
  <si>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</si>
  <si>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</si>
  <si>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</si>
  <si>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</si>
  <si>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</si>
  <si>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</si>
  <si>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</si>
  <si>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</si>
  <si>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</si>
  <si>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</si>
  <si>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</si>
  <si>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</si>
  <si>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</si>
  <si>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</si>
  <si>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</si>
  <si>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</si>
  <si>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</si>
  <si>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</si>
  <si>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</si>
  <si>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</si>
  <si>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</si>
  <si>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</si>
  <si>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</si>
  <si>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</si>
  <si>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</si>
  <si>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</si>
  <si>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</si>
  <si>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</si>
  <si>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</si>
  <si>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</si>
  <si>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</si>
  <si>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</si>
  <si>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</si>
  <si>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</si>
  <si>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</si>
  <si>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</si>
  <si>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</si>
  <si>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</si>
  <si>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</si>
  <si>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</si>
  <si>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</si>
  <si>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</si>
  <si>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</si>
  <si>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</si>
  <si>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</si>
  <si>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</si>
  <si>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</si>
  <si>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</si>
  <si>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</si>
  <si>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</si>
  <si>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</si>
  <si>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</si>
  <si>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</si>
  <si>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</si>
  <si>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</si>
  <si>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</si>
  <si>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</si>
  <si>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</si>
  <si>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</si>
  <si>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</si>
  <si>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</si>
  <si>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</si>
  <si>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</si>
  <si>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</si>
  <si>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</si>
  <si>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</si>
  <si>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</si>
  <si>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</si>
  <si>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</si>
  <si>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</si>
  <si>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</si>
  <si>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</si>
  <si>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</si>
  <si>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</si>
  <si>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</si>
  <si>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</si>
  <si>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</si>
  <si>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</si>
  <si>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</si>
  <si>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</si>
  <si>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</si>
  <si>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</si>
  <si>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</si>
  <si>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</si>
  <si>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</si>
  <si>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</si>
  <si>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</si>
  <si>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</si>
  <si>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</si>
  <si>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</si>
  <si>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</si>
  <si>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</si>
  <si>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</si>
  <si>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</si>
  <si>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</si>
  <si>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</si>
  <si>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</si>
  <si>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</si>
  <si>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</si>
  <si>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</si>
  <si>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</si>
  <si>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</si>
  <si>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</si>
  <si>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</si>
  <si>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</si>
  <si>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</si>
  <si>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</si>
  <si>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</si>
  <si>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</si>
  <si>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</si>
  <si>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</si>
  <si>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</si>
  <si>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</si>
  <si>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</si>
  <si>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</si>
  <si>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</si>
  <si>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</si>
  <si>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</si>
  <si>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</si>
  <si>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</si>
  <si>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</si>
  <si>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</si>
  <si>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</si>
  <si>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</si>
  <si>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</si>
  <si>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</si>
  <si>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</si>
  <si>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</si>
  <si>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</si>
  <si>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</si>
  <si>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</si>
  <si>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</si>
  <si>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</si>
  <si>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</si>
  <si>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</si>
  <si>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</si>
  <si>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</si>
  <si>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</si>
  <si>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</si>
  <si>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</si>
  <si>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</si>
  <si>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</si>
  <si>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</si>
  <si>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</si>
  <si>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</si>
  <si>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</si>
  <si>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</si>
  <si>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</si>
  <si>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</si>
  <si>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</si>
  <si>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</si>
  <si>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</si>
  <si>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</si>
  <si>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</si>
  <si>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</si>
  <si>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</si>
  <si>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</si>
  <si>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</si>
  <si>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</si>
  <si>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</si>
  <si>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</si>
  <si>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</si>
  <si>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</si>
  <si>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</si>
  <si>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</si>
  <si>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</si>
  <si>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</si>
  <si>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</si>
  <si>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</si>
  <si>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</si>
  <si>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</si>
  <si>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</si>
  <si>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</si>
  <si>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</si>
  <si>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</si>
  <si>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</si>
  <si>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</si>
  <si>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</si>
  <si>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</si>
  <si>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</si>
  <si>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</si>
  <si>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</si>
  <si>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</si>
  <si>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</si>
  <si>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</si>
  <si>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</si>
  <si>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</si>
  <si>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</si>
  <si>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</si>
  <si>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</si>
  <si>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</si>
  <si>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</si>
  <si>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</si>
  <si>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</si>
  <si>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</si>
  <si>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</si>
  <si>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</si>
  <si>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</si>
  <si>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</si>
  <si>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</si>
  <si>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</si>
  <si>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</si>
  <si>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</si>
  <si>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</si>
  <si>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</si>
  <si>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</si>
  <si>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</si>
  <si>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</si>
  <si>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</si>
  <si>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</si>
  <si>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</si>
  <si>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</si>
  <si>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</si>
  <si>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</si>
  <si>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</si>
  <si>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</si>
  <si>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</si>
  <si>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</si>
  <si>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</si>
  <si>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</si>
  <si>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</si>
  <si>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</si>
  <si>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</si>
  <si>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</si>
  <si>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</si>
  <si>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</si>
  <si>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</si>
  <si>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</si>
  <si>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</si>
  <si>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</si>
  <si>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</si>
  <si>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</si>
  <si>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</si>
  <si>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</si>
  <si>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</si>
  <si>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</si>
  <si>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</si>
  <si>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</si>
  <si>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</si>
  <si>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</si>
  <si>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</si>
  <si>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</si>
  <si>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</si>
  <si>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</si>
  <si>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</si>
  <si>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</si>
  <si>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</si>
  <si>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</si>
  <si>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</si>
  <si>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</si>
  <si>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</si>
  <si>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</si>
  <si>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</si>
  <si>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</si>
  <si>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</si>
  <si>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</si>
  <si>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</si>
  <si>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</si>
  <si>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</si>
  <si>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</si>
  <si>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</si>
  <si>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</si>
  <si>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</si>
  <si>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</si>
  <si>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</si>
  <si>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</si>
  <si>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</si>
  <si>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</si>
  <si>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</si>
  <si>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</si>
  <si>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</si>
  <si>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</si>
  <si>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</si>
  <si>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</si>
  <si>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</si>
  <si>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</si>
  <si>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</si>
  <si>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</si>
  <si>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</si>
  <si>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</si>
  <si>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</si>
  <si>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</si>
  <si>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</si>
  <si>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</si>
  <si>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</si>
  <si>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</si>
  <si>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</si>
  <si>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</si>
  <si>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</si>
  <si>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</si>
  <si>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</si>
  <si>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</si>
  <si>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</si>
  <si>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</si>
  <si>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</si>
  <si>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</si>
  <si>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</si>
  <si>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</si>
  <si>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</si>
  <si>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</si>
  <si>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</si>
  <si>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</si>
  <si>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</si>
  <si>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</si>
  <si>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</si>
  <si>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</si>
  <si>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</si>
  <si>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</si>
  <si>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</si>
  <si>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</si>
  <si>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</si>
  <si>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</si>
  <si>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</si>
  <si>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</si>
  <si>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</si>
  <si>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</si>
  <si>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</si>
  <si>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</si>
  <si>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</si>
  <si>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</si>
  <si>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</si>
  <si>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</si>
  <si>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</si>
  <si>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</si>
  <si>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</si>
  <si>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</si>
  <si>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</si>
  <si>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</si>
  <si>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</si>
  <si>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</si>
  <si>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</si>
  <si>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</si>
  <si>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</si>
  <si>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</si>
  <si>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</si>
  <si>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</si>
  <si>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</si>
  <si>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</si>
  <si>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</si>
  <si>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</si>
  <si>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</si>
  <si>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</si>
  <si>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</si>
  <si>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</si>
  <si>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</si>
  <si>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</si>
  <si>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</si>
  <si>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</si>
  <si>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</si>
  <si>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</si>
  <si>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</si>
  <si>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</si>
  <si>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</si>
  <si>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</si>
  <si>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</si>
  <si>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</si>
  <si>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</si>
  <si>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</si>
  <si>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</si>
  <si>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</si>
  <si>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</si>
  <si>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</si>
  <si>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</si>
  <si>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</si>
  <si>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</si>
  <si>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</si>
  <si>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</si>
  <si>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</si>
  <si>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</si>
  <si>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</si>
  <si>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</si>
  <si>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</si>
  <si>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</si>
  <si>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</si>
  <si>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</si>
  <si>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</si>
  <si>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</si>
  <si>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</si>
  <si>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</si>
  <si>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</si>
  <si>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</si>
  <si>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</si>
  <si>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</si>
  <si>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</si>
  <si>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</si>
  <si>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</si>
  <si>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</si>
  <si>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</si>
  <si>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</si>
  <si>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</si>
  <si>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</si>
  <si>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</si>
  <si>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</si>
  <si>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</si>
  <si>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</si>
  <si>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</si>
  <si>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</si>
  <si>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</si>
  <si>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</si>
  <si>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</si>
  <si>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</si>
  <si>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</si>
  <si>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</si>
  <si>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</si>
  <si>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</si>
  <si>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</si>
  <si>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</si>
  <si>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</si>
  <si>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</si>
  <si>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</si>
  <si>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</si>
  <si>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</si>
  <si>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</si>
  <si>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</si>
  <si>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</si>
  <si>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</si>
  <si>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</si>
  <si>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</si>
  <si>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</si>
  <si>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</si>
  <si>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</si>
  <si>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</si>
  <si>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</si>
  <si>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</si>
  <si>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</si>
  <si>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</si>
  <si>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</si>
  <si>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</si>
  <si>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</si>
  <si>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</si>
  <si>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</si>
  <si>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</si>
  <si>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</si>
  <si>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</si>
  <si>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</si>
  <si>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</si>
  <si>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</si>
  <si>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</si>
  <si>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</si>
  <si>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</si>
  <si>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</si>
  <si>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</si>
  <si>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</si>
  <si>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</si>
  <si>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</si>
  <si>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</si>
  <si>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</si>
  <si>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</si>
  <si>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</si>
  <si>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</si>
  <si>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</si>
  <si>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</si>
  <si>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</si>
  <si>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</si>
  <si>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</si>
  <si>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</si>
  <si>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</si>
  <si>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</si>
  <si>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</si>
  <si>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</si>
  <si>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</si>
  <si>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</si>
  <si>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</si>
  <si>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</si>
  <si>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</si>
  <si>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</si>
  <si>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</si>
  <si>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</si>
  <si>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</si>
  <si>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</si>
  <si>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</si>
  <si>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</si>
  <si>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</si>
  <si>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</si>
  <si>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</si>
  <si>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</si>
  <si>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</si>
  <si>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</si>
  <si>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</si>
  <si>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</si>
  <si>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</si>
  <si>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</si>
  <si>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</si>
  <si>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</si>
  <si>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</si>
  <si>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</si>
  <si>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</si>
  <si>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</si>
  <si>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</si>
  <si>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</si>
  <si>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</si>
  <si>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</si>
  <si>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</si>
  <si>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</si>
  <si>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</si>
  <si>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</si>
  <si>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</si>
  <si>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</si>
  <si>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</si>
  <si>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</si>
  <si>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</si>
  <si>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</si>
  <si>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</si>
  <si>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</si>
  <si>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</si>
  <si>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</si>
  <si>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</si>
  <si>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</si>
  <si>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</si>
  <si>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</si>
  <si>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</si>
  <si>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</si>
  <si>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</si>
  <si>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</si>
  <si>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</si>
  <si>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</si>
  <si>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</si>
  <si>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</si>
  <si>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</si>
  <si>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</si>
  <si>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</si>
  <si>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</si>
  <si>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</si>
  <si>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</si>
  <si>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</si>
  <si>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</si>
  <si>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</si>
  <si>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</si>
  <si>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</si>
  <si>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</si>
  <si>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</si>
  <si>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</si>
  <si>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</si>
  <si>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</si>
  <si>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</si>
  <si>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</si>
  <si>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</si>
  <si>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</si>
  <si>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</si>
  <si>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</si>
  <si>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</si>
  <si>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</si>
  <si>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</si>
  <si>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</si>
  <si>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</si>
  <si>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</si>
  <si>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</si>
  <si>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</si>
  <si>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</si>
  <si>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</si>
  <si>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</si>
  <si>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</si>
  <si>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</si>
  <si>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</si>
  <si>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</si>
  <si>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</si>
  <si>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</si>
  <si>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</si>
  <si>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</si>
  <si>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</si>
  <si>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</si>
  <si>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</si>
  <si>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</si>
  <si>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</si>
  <si>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</si>
  <si>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</si>
  <si>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</si>
  <si>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</si>
  <si>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</si>
  <si>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</si>
  <si>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</si>
  <si>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</si>
  <si>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</si>
  <si>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</si>
  <si>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</si>
  <si>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</si>
  <si>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</si>
  <si>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</si>
  <si>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</si>
  <si>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</si>
  <si>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</si>
  <si>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</si>
  <si>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</si>
  <si>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</si>
  <si>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</si>
  <si>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</si>
  <si>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</si>
  <si>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</si>
  <si>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</si>
  <si>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</si>
  <si>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</si>
  <si>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</si>
  <si>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</si>
  <si>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</si>
  <si>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</si>
  <si>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</si>
  <si>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</si>
  <si>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</si>
  <si>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</si>
  <si>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</si>
  <si>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</si>
  <si>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</si>
  <si>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</si>
  <si>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</si>
  <si>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</si>
  <si>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</si>
  <si>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</si>
  <si>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</si>
  <si>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</si>
  <si>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</si>
  <si>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</si>
  <si>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</si>
  <si>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</si>
  <si>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</si>
  <si>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</si>
  <si>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</si>
  <si>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</si>
  <si>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</si>
  <si>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</si>
  <si>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</si>
  <si>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</si>
  <si>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</si>
  <si>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</si>
  <si>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</si>
  <si>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</si>
  <si>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</si>
  <si>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</si>
  <si>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</si>
  <si>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</si>
  <si>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</si>
  <si>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</si>
  <si>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</si>
  <si>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</si>
  <si>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</si>
  <si>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</si>
  <si>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</si>
  <si>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</si>
  <si>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</si>
  <si>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</si>
  <si>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</si>
  <si>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</si>
  <si>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</si>
  <si>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</si>
  <si>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</si>
  <si>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</si>
  <si>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</si>
  <si>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</si>
  <si>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</si>
  <si>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</si>
  <si>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</si>
  <si>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</si>
  <si>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</si>
  <si>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</si>
  <si>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</si>
  <si>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</si>
  <si>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</si>
  <si>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</si>
  <si>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</si>
  <si>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</si>
  <si>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</si>
  <si>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</si>
  <si>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</si>
  <si>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</si>
  <si>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</si>
  <si>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</si>
  <si>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</si>
  <si>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</si>
  <si>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</si>
  <si>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</si>
  <si>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</si>
  <si>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</si>
  <si>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</si>
  <si>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</si>
  <si>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</si>
  <si>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</si>
  <si>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</si>
  <si>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</si>
  <si>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</si>
  <si>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</si>
  <si>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</si>
  <si>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</si>
  <si>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</si>
  <si>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</si>
  <si>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</si>
  <si>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</si>
  <si>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</si>
  <si>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</si>
  <si>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</si>
  <si>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</si>
  <si>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</si>
  <si>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</si>
  <si>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</si>
  <si>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</si>
  <si>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</si>
  <si>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</si>
  <si>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</si>
  <si>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</si>
  <si>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</si>
  <si>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</si>
  <si>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</si>
  <si>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</si>
  <si>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</si>
  <si>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</si>
  <si>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</si>
  <si>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</si>
  <si>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</si>
  <si>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</si>
  <si>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</si>
  <si>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</si>
  <si>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</si>
  <si>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</si>
  <si>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</si>
  <si>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</si>
  <si>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</si>
  <si>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</si>
  <si>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</si>
  <si>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</si>
  <si>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</si>
  <si>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</si>
  <si>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</si>
  <si>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</si>
  <si>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</si>
  <si>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</si>
  <si>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</si>
  <si>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</si>
  <si>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</si>
  <si>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</si>
  <si>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</si>
  <si>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</si>
  <si>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</si>
  <si>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</si>
  <si>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</si>
  <si>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</si>
  <si>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</si>
  <si>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</si>
  <si>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</si>
  <si>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</si>
  <si>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</si>
  <si>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</si>
  <si>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</si>
  <si>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</si>
  <si>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</si>
  <si>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</si>
  <si>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</si>
  <si>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</si>
  <si>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</si>
  <si>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</si>
  <si>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</si>
  <si>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</si>
  <si>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</si>
  <si>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</si>
  <si>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</si>
  <si>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</si>
  <si>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</si>
  <si>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</si>
  <si>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</si>
  <si>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</si>
  <si>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</si>
  <si>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</si>
  <si>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</si>
  <si>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</si>
  <si>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</si>
  <si>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</si>
  <si>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</si>
  <si>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</si>
  <si>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</si>
  <si>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</si>
  <si>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</si>
  <si>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</si>
  <si>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</si>
  <si>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</si>
  <si>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</si>
  <si>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</si>
  <si>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</si>
  <si>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</si>
  <si>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</si>
  <si>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</si>
  <si>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</si>
  <si>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</si>
  <si>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</si>
  <si>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</si>
  <si>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</si>
  <si>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</si>
  <si>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</si>
  <si>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</si>
  <si>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</si>
  <si>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</si>
  <si>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</si>
  <si>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</si>
  <si>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</si>
  <si>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</si>
  <si>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</si>
  <si>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</si>
  <si>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</si>
  <si>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</si>
  <si>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</si>
  <si>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</si>
  <si>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</si>
  <si>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</si>
  <si>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</si>
  <si>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</si>
  <si>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</si>
  <si>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</si>
  <si>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</si>
  <si>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</si>
  <si>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</si>
  <si>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</si>
  <si>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</si>
  <si>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</si>
  <si>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</si>
  <si>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</si>
  <si>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</si>
  <si>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</si>
  <si>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</si>
  <si>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</si>
  <si>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</si>
  <si>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</si>
  <si>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</si>
  <si>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</si>
  <si>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</si>
  <si>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</si>
  <si>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</si>
  <si>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</si>
  <si>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</si>
  <si>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</si>
  <si>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</si>
  <si>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</si>
  <si>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</si>
  <si>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</si>
  <si>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</si>
  <si>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</si>
  <si>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</si>
  <si>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</si>
  <si>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</si>
  <si>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</si>
  <si>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</si>
  <si>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</si>
  <si>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</si>
  <si>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</si>
  <si>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</si>
  <si>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</si>
  <si>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</si>
  <si>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</si>
  <si>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</si>
  <si>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</si>
  <si>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</si>
  <si>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</si>
  <si>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</si>
  <si>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</si>
  <si>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</si>
  <si>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</si>
  <si>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</si>
  <si>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</si>
  <si>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</si>
  <si>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</si>
  <si>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</si>
  <si>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</si>
  <si>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</si>
  <si>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</si>
  <si>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</si>
  <si>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</si>
  <si>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</si>
  <si>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</si>
  <si>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</si>
  <si>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</si>
  <si>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</si>
  <si>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</si>
  <si>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</si>
  <si>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</si>
  <si>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</si>
  <si>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</si>
  <si>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</si>
  <si>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</si>
  <si>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</si>
  <si>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</si>
  <si>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</si>
  <si>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</si>
  <si>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</si>
  <si>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</si>
  <si>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</si>
  <si>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</si>
  <si>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</si>
  <si>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</si>
  <si>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</si>
  <si>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</si>
  <si>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</si>
  <si>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</si>
  <si>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</si>
  <si>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</si>
  <si>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</si>
  <si>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</si>
  <si>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</si>
  <si>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</si>
  <si>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</si>
  <si>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</si>
  <si>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</si>
  <si>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</si>
  <si>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</si>
  <si>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</si>
  <si>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</si>
  <si>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</si>
  <si>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</si>
  <si>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</si>
  <si>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</si>
  <si>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</si>
  <si>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</si>
  <si>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</si>
  <si>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</si>
  <si>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</si>
  <si>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</si>
  <si>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</si>
  <si>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</si>
  <si>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</si>
  <si>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</si>
  <si>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</si>
  <si>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</si>
  <si>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</si>
  <si>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</si>
  <si>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</si>
  <si>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</si>
  <si>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</si>
  <si>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</si>
  <si>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</si>
  <si>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</si>
  <si>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</si>
  <si>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</si>
  <si>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</si>
  <si>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</si>
  <si>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</si>
  <si>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</si>
  <si>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</si>
  <si>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</si>
  <si>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</si>
  <si>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</si>
  <si>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</si>
  <si>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</si>
  <si>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</si>
  <si>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</si>
  <si>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</si>
  <si>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</si>
  <si>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</si>
  <si>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</si>
  <si>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</si>
  <si>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</si>
  <si>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</si>
  <si>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</si>
  <si>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</si>
  <si>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</si>
  <si>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</si>
  <si>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</si>
  <si>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</si>
  <si>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</si>
  <si>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</si>
  <si>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</si>
  <si>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</si>
  <si>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</si>
  <si>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</si>
  <si>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</si>
  <si>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</si>
  <si>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</si>
  <si>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</si>
  <si>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</si>
  <si>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</si>
  <si>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</si>
  <si>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</si>
  <si>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</si>
  <si>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</si>
  <si>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</si>
  <si>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</si>
  <si>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</si>
  <si>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</si>
  <si>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</si>
  <si>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</si>
  <si>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</si>
  <si>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</si>
  <si>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</si>
  <si>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</si>
  <si>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</si>
  <si>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</si>
  <si>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</si>
  <si>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</si>
  <si>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</si>
  <si>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</si>
  <si>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</si>
  <si>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</si>
  <si>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</si>
  <si>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</si>
  <si>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</si>
  <si>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</si>
  <si>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</si>
  <si>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</si>
  <si>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</si>
  <si>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</si>
  <si>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</si>
  <si>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</si>
  <si>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</si>
  <si>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</si>
  <si>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</si>
  <si>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</si>
  <si>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</si>
  <si>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</si>
  <si>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</si>
  <si>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</si>
  <si>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</si>
  <si>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</si>
  <si>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</si>
  <si>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</si>
  <si>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</si>
  <si>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</si>
  <si>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</si>
  <si>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</si>
  <si>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</si>
  <si>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</si>
  <si>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</si>
  <si>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</si>
  <si>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</si>
  <si>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</si>
  <si>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</si>
  <si>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</si>
  <si>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</si>
  <si>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</si>
  <si>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</si>
  <si>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</si>
  <si>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</si>
  <si>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</si>
  <si>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</si>
  <si>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</si>
  <si>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</si>
  <si>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</si>
  <si>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</si>
  <si>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</si>
  <si>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</si>
  <si>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</si>
  <si>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</si>
  <si>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</si>
  <si>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</si>
  <si>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</si>
  <si>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</si>
  <si>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</si>
  <si>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</si>
  <si>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</si>
  <si>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</si>
  <si>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</si>
  <si>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</si>
  <si>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</si>
  <si>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</si>
  <si>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</si>
  <si>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</si>
  <si>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</si>
  <si>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</si>
  <si>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</si>
  <si>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</si>
  <si>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</si>
  <si>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</si>
  <si>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</si>
  <si>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</si>
  <si>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</si>
  <si>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</si>
  <si>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</si>
  <si>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</si>
  <si>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</si>
  <si>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</si>
  <si>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</si>
  <si>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</si>
  <si>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</si>
  <si>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</si>
  <si>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</si>
  <si>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</si>
  <si>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</si>
  <si>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</si>
  <si>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</si>
  <si>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</si>
  <si>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</si>
  <si>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</si>
  <si>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</si>
  <si>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</si>
  <si>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</si>
  <si>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</si>
  <si>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</si>
  <si>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</si>
  <si>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</si>
  <si>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</si>
  <si>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</si>
  <si>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</si>
  <si>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</si>
  <si>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</si>
  <si>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</si>
  <si>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</si>
  <si>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</si>
  <si>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</si>
  <si>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</si>
  <si>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</si>
  <si>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</si>
  <si>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</si>
  <si>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</si>
  <si>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</si>
  <si>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</si>
  <si>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</si>
  <si>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</si>
  <si>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</si>
  <si>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</si>
  <si>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</si>
  <si>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</si>
  <si>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</si>
  <si>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</si>
  <si>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</si>
  <si>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</si>
  <si>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</si>
  <si>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</si>
  <si>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</si>
  <si>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</si>
  <si>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</si>
  <si>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</si>
  <si>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</si>
  <si>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</si>
  <si>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</si>
  <si>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</si>
  <si>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</si>
  <si>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</si>
  <si>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</si>
  <si>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</si>
  <si>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</si>
  <si>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</si>
  <si>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</si>
  <si>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</si>
  <si>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</si>
  <si>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</si>
  <si>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</si>
  <si>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</si>
  <si>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</si>
  <si>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</si>
  <si>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</si>
  <si>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</si>
  <si>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</si>
  <si>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</si>
  <si>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</si>
  <si>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</si>
  <si>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</si>
  <si>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</si>
  <si>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</si>
  <si>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</si>
  <si>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</si>
  <si>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</si>
  <si>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</si>
  <si>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</si>
  <si>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</si>
  <si>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</si>
  <si>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</si>
  <si>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</si>
  <si>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</si>
  <si>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</si>
  <si>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</si>
  <si>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</si>
  <si>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</si>
  <si>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</si>
  <si>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</si>
  <si>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</si>
  <si>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</si>
  <si>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</si>
  <si>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</si>
  <si>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</si>
  <si>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</si>
  <si>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</si>
  <si>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</si>
  <si>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</si>
  <si>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</si>
  <si>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</si>
  <si>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</si>
  <si>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</si>
  <si>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</si>
  <si>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</si>
  <si>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</si>
  <si>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</si>
  <si>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</si>
  <si>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</si>
  <si>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</si>
  <si>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</si>
  <si>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</si>
  <si>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</si>
  <si>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</si>
  <si>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</si>
  <si>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</si>
  <si>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</si>
  <si>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</si>
  <si>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</si>
  <si>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</si>
  <si>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</si>
  <si>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</si>
  <si>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</si>
  <si>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</si>
  <si>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</si>
  <si>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</si>
  <si>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</si>
  <si>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</si>
  <si>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</si>
  <si>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</si>
  <si>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</si>
  <si>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</si>
  <si>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</si>
  <si>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</si>
  <si>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</si>
  <si>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</si>
  <si>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</si>
  <si>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</si>
  <si>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</si>
  <si>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</si>
  <si>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</si>
  <si>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</si>
  <si>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</si>
  <si>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</si>
  <si>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</si>
  <si>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</si>
  <si>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</si>
  <si>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</si>
  <si>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</si>
  <si>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</si>
  <si>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</si>
  <si>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</si>
  <si>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</si>
  <si>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</si>
  <si>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</si>
  <si>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</si>
  <si>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</si>
  <si>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</si>
  <si>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</si>
  <si>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</si>
  <si>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</si>
  <si>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</si>
  <si>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</si>
  <si>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</si>
  <si>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</si>
  <si>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</si>
  <si>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</si>
  <si>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</si>
  <si>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</si>
  <si>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</si>
  <si>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</si>
  <si>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</si>
  <si>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</si>
  <si>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</si>
  <si>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</si>
  <si>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</si>
  <si>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</si>
  <si>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</si>
  <si>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</si>
  <si>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</si>
  <si>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</si>
  <si>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</si>
  <si>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</si>
  <si>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</si>
  <si>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</si>
  <si>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</si>
  <si>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</si>
  <si>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</si>
  <si>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</si>
  <si>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</si>
  <si>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</si>
  <si>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</si>
  <si>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</si>
  <si>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</si>
  <si>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</si>
  <si>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</si>
  <si>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</si>
  <si>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</si>
  <si>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</si>
  <si>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</si>
  <si>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</si>
  <si>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</si>
  <si>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</si>
  <si>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</si>
  <si>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</si>
  <si>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</si>
  <si>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</si>
  <si>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</si>
  <si>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</si>
  <si>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</si>
  <si>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</si>
  <si>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</si>
  <si>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</si>
  <si>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</si>
  <si>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</si>
  <si>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</si>
  <si>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</si>
  <si>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</si>
  <si>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</si>
  <si>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</si>
  <si>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</si>
  <si>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</si>
  <si>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</si>
  <si>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</si>
  <si>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</si>
  <si>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</si>
  <si>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</si>
  <si>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</si>
  <si>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</si>
  <si>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</si>
  <si>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</si>
  <si>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</si>
  <si>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</si>
  <si>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</si>
  <si>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</si>
  <si>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</si>
  <si>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</si>
  <si>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</si>
  <si>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</si>
  <si>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</si>
  <si>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</si>
  <si>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</si>
  <si>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</si>
  <si>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</si>
  <si>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</si>
  <si>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</si>
  <si>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</si>
  <si>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</si>
  <si>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</si>
  <si>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</si>
  <si>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</si>
  <si>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</si>
  <si>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</si>
  <si>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</si>
  <si>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</si>
  <si>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</si>
  <si>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</si>
  <si>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</si>
  <si>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</si>
  <si>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</si>
  <si>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</si>
  <si>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</si>
  <si>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</si>
  <si>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</si>
  <si>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</si>
  <si>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</si>
  <si>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</si>
  <si>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</si>
  <si>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</si>
  <si>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</si>
  <si>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</si>
  <si>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</si>
  <si>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</si>
  <si>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</si>
  <si>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</si>
  <si>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</si>
  <si>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</si>
  <si>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</si>
  <si>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</si>
  <si>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</si>
  <si>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</si>
  <si>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</si>
  <si>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</si>
  <si>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</si>
  <si>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</si>
  <si>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</si>
  <si>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</si>
  <si>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</si>
  <si>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</si>
  <si>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</si>
  <si>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</si>
  <si>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</si>
  <si>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</si>
  <si>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</si>
  <si>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</si>
  <si>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</si>
  <si>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</si>
  <si>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</si>
  <si>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</si>
  <si>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</si>
  <si>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</si>
  <si>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</si>
  <si>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</si>
  <si>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</si>
  <si>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</si>
  <si>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</si>
  <si>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</si>
  <si>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</si>
  <si>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</si>
  <si>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</si>
  <si>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</si>
  <si>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</si>
  <si>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</si>
  <si>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</si>
  <si>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</si>
  <si>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</si>
  <si>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</si>
  <si>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</si>
  <si>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</si>
  <si>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</si>
  <si>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</si>
  <si>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</si>
  <si>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</si>
  <si>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</si>
  <si>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</si>
  <si>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</si>
  <si>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</si>
  <si>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</si>
  <si>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</si>
  <si>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</si>
  <si>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</si>
  <si>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</si>
  <si>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</si>
  <si>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</si>
  <si>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</si>
  <si>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</si>
  <si>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</si>
  <si>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</si>
  <si>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</si>
  <si>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</si>
  <si>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</si>
  <si>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</si>
  <si>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</si>
  <si>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</si>
  <si>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</si>
  <si>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</si>
  <si>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</si>
  <si>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</si>
  <si>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</si>
  <si>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</si>
  <si>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</si>
  <si>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</si>
  <si>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</si>
  <si>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</si>
  <si>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</si>
  <si>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</si>
  <si>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</si>
  <si>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</si>
  <si>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</si>
  <si>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</si>
  <si>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</si>
  <si>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</si>
  <si>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</si>
  <si>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</si>
  <si>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</si>
  <si>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</si>
  <si>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</si>
  <si>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</si>
  <si>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</si>
  <si>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</si>
  <si>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</si>
  <si>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</si>
  <si>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</si>
  <si>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</si>
  <si>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</si>
  <si>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</si>
  <si>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</si>
  <si>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</si>
  <si>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</si>
  <si>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</si>
  <si>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</si>
  <si>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</si>
  <si>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</si>
  <si>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</si>
  <si>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</si>
  <si>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</si>
  <si>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</si>
  <si>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</si>
  <si>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</si>
  <si>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</si>
  <si>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</si>
  <si>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</si>
  <si>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</si>
  <si>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</si>
  <si>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</si>
  <si>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</si>
  <si>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</si>
  <si>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</si>
  <si>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</si>
  <si>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</si>
  <si>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</si>
  <si>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</si>
  <si>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</si>
  <si>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</si>
  <si>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</si>
  <si>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</si>
  <si>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</si>
  <si>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</si>
  <si>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</si>
  <si>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</si>
  <si>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</si>
  <si>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</si>
  <si>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</si>
  <si>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</si>
  <si>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</si>
  <si>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</si>
  <si>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</si>
  <si>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</si>
  <si>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</si>
  <si>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</si>
  <si>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</si>
  <si>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</si>
  <si>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</si>
  <si>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</si>
  <si>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</si>
  <si>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</si>
  <si>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</si>
  <si>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</si>
  <si>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</si>
  <si>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</si>
  <si>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</si>
  <si>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</si>
  <si>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</si>
  <si>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</si>
  <si>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</si>
  <si>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</si>
  <si>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</si>
  <si>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</si>
  <si>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</si>
  <si>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</si>
  <si>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</si>
  <si>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</si>
  <si>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</si>
  <si>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</si>
  <si>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</si>
  <si>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</si>
  <si>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</si>
  <si>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</si>
  <si>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</si>
  <si>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</si>
  <si>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</si>
  <si>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</si>
  <si>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</si>
  <si>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</si>
  <si>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</si>
  <si>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</si>
  <si>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</si>
  <si>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</si>
  <si>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</si>
  <si>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</si>
  <si>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</si>
  <si>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</si>
  <si>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</si>
  <si>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</si>
  <si>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</si>
  <si>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</si>
  <si>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</si>
  <si>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</si>
  <si>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</si>
  <si>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</si>
  <si>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</si>
  <si>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</si>
  <si>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</si>
  <si>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</si>
  <si>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</si>
  <si>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</si>
  <si>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</si>
  <si>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</si>
  <si>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</si>
  <si>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</si>
  <si>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</si>
  <si>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</si>
  <si>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</si>
  <si>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</si>
  <si>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</si>
  <si>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</si>
  <si>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</si>
  <si>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</si>
  <si>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</si>
  <si>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</si>
  <si>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</si>
  <si>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</si>
  <si>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</si>
  <si>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</si>
  <si>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</si>
  <si>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</si>
  <si>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</si>
  <si>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</si>
  <si>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</si>
  <si>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</si>
  <si>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</si>
  <si>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</si>
  <si>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</si>
  <si>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</si>
  <si>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</si>
  <si>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</si>
  <si>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</si>
  <si>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</si>
  <si>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</si>
  <si>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</si>
  <si>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</si>
  <si>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</si>
  <si>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</si>
  <si>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</si>
  <si>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</si>
  <si>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</si>
  <si>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</si>
  <si>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</si>
  <si>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</si>
  <si>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</si>
  <si>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</si>
  <si>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</si>
  <si>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</si>
  <si>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</si>
  <si>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</si>
  <si>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</si>
  <si>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</si>
  <si>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</si>
  <si>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</si>
  <si>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</si>
  <si>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</si>
  <si>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</si>
  <si>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</si>
  <si>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</si>
  <si>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</si>
  <si>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</si>
  <si>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</si>
  <si>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</si>
  <si>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</si>
  <si>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</si>
  <si>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</si>
  <si>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</si>
  <si>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</si>
  <si>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</si>
  <si>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</si>
  <si>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</si>
  <si>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</si>
  <si>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</si>
  <si>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</si>
  <si>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</si>
  <si>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</si>
  <si>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</si>
  <si>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</si>
  <si>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</si>
  <si>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</si>
  <si>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</si>
  <si>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</si>
  <si>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</si>
  <si>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</si>
  <si>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</si>
  <si>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</si>
  <si>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</si>
  <si>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</si>
  <si>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</si>
  <si>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</si>
  <si>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</si>
  <si>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</si>
  <si>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</si>
  <si>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</si>
  <si>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</si>
  <si>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</si>
  <si>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</si>
  <si>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</si>
  <si>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</si>
  <si>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</si>
  <si>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</si>
  <si>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</si>
  <si>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</si>
  <si>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</si>
  <si>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</si>
  <si>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</si>
  <si>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</si>
  <si>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</si>
  <si>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</si>
  <si>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</si>
  <si>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</si>
  <si>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</si>
  <si>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</si>
  <si>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</si>
  <si>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</si>
  <si>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</si>
  <si>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</si>
  <si>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</si>
  <si>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</si>
  <si>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</si>
  <si>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</si>
  <si>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</si>
  <si>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</si>
  <si>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</si>
  <si>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</si>
  <si>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</si>
  <si>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</si>
  <si>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</si>
  <si>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</si>
  <si>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</si>
  <si>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</si>
  <si>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</si>
  <si>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</si>
  <si>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</si>
  <si>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</si>
  <si>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</si>
  <si>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</si>
  <si>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</si>
  <si>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</si>
  <si>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</si>
  <si>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</si>
  <si>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</si>
  <si>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</si>
  <si>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</si>
  <si>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</si>
  <si>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</si>
  <si>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</si>
  <si>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</si>
  <si>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</si>
  <si>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</si>
  <si>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</si>
  <si>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</si>
  <si>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</si>
  <si>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</si>
  <si>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</si>
  <si>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</si>
  <si>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</si>
  <si>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</si>
  <si>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</si>
  <si>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</si>
  <si>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</si>
  <si>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</si>
  <si>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</si>
  <si>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</si>
  <si>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</si>
  <si>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</si>
  <si>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</si>
  <si>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</si>
  <si>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</si>
  <si>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</si>
  <si>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</si>
  <si>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</si>
  <si>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</si>
  <si>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</si>
  <si>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</si>
  <si>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</si>
  <si>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</si>
  <si>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</si>
  <si>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</si>
  <si>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</si>
  <si>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</si>
  <si>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</si>
  <si>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</si>
  <si>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</si>
  <si>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</si>
  <si>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</si>
  <si>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</si>
  <si>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</si>
  <si>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</si>
  <si>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</si>
  <si>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</si>
  <si>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</si>
  <si>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</si>
  <si>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</si>
  <si>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</si>
  <si>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</si>
  <si>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</si>
  <si>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</si>
  <si>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</si>
  <si>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</si>
  <si>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</si>
  <si>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</si>
  <si>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</si>
  <si>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</si>
  <si>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</si>
  <si>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</si>
  <si>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</si>
  <si>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</si>
  <si>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</si>
  <si>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</si>
  <si>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</si>
  <si>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</si>
  <si>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</si>
  <si>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</si>
  <si>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</si>
  <si>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</si>
  <si>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</si>
  <si>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</si>
  <si>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</si>
  <si>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</si>
  <si>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</si>
  <si>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</si>
  <si>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</si>
  <si>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</si>
  <si>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</si>
  <si>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</si>
  <si>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</si>
  <si>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</si>
  <si>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</si>
  <si>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</si>
  <si>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</si>
  <si>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</si>
  <si>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</si>
  <si>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</si>
  <si>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</si>
  <si>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</si>
  <si>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</si>
  <si>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</si>
  <si>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</si>
  <si>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</si>
  <si>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</si>
  <si>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</si>
  <si>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</si>
  <si>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</si>
  <si>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</si>
  <si>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</si>
  <si>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</si>
  <si>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</si>
  <si>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</si>
  <si>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</si>
  <si>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</si>
  <si>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</si>
  <si>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</si>
  <si>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</si>
  <si>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</si>
  <si>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</si>
  <si>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</si>
  <si>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</si>
  <si>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</si>
  <si>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</si>
  <si>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</si>
  <si>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</si>
  <si>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</si>
  <si>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</si>
  <si>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</si>
  <si>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</si>
  <si>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</si>
  <si>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</si>
  <si>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</si>
  <si>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</si>
  <si>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</si>
  <si>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</si>
  <si>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</si>
  <si>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</si>
  <si>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</si>
  <si>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</si>
  <si>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</si>
  <si>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</si>
  <si>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</si>
  <si>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</si>
  <si>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</si>
  <si>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</si>
  <si>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</si>
  <si>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</si>
  <si>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</si>
  <si>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</si>
  <si>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</si>
  <si>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</si>
  <si>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</si>
  <si>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</si>
  <si>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</si>
  <si>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</si>
  <si>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</si>
  <si>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</si>
  <si>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</si>
  <si>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</si>
  <si>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</si>
  <si>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</si>
  <si>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</si>
  <si>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</si>
  <si>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</si>
  <si>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</si>
  <si>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</si>
  <si>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</si>
  <si>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</si>
  <si>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</si>
  <si>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</si>
  <si>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</si>
  <si>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</si>
  <si>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</si>
  <si>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</si>
  <si>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</si>
  <si>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</si>
  <si>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</si>
  <si>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</si>
  <si>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</si>
  <si>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</si>
  <si>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</si>
  <si>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</si>
  <si>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</si>
  <si>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</si>
  <si>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</si>
  <si>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</si>
  <si>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</si>
  <si>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</si>
  <si>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</si>
  <si>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</si>
  <si>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</si>
  <si>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</si>
  <si>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</si>
  <si>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</si>
  <si>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</si>
  <si>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</si>
  <si>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</si>
  <si>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</si>
  <si>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</si>
  <si>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</si>
  <si>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</si>
  <si>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</si>
  <si>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</si>
  <si>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</si>
  <si>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</si>
  <si>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</si>
  <si>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</si>
  <si>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</si>
  <si>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</si>
  <si>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</si>
  <si>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</si>
  <si>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</si>
  <si>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</si>
  <si>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</si>
  <si>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</si>
  <si>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</si>
  <si>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</si>
  <si>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</si>
  <si>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</si>
  <si>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</si>
  <si>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</si>
  <si>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</si>
  <si>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</si>
  <si>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</si>
  <si>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</si>
  <si>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</si>
  <si>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</si>
  <si>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</si>
  <si>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</si>
  <si>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</si>
  <si>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</si>
  <si>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</si>
  <si>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</si>
  <si>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</si>
  <si>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</si>
  <si>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</si>
  <si>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</si>
  <si>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</si>
  <si>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</si>
  <si>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</si>
  <si>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</si>
  <si>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</si>
  <si>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</si>
  <si>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</si>
  <si>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</si>
  <si>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</si>
  <si>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</si>
  <si>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</si>
  <si>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</si>
  <si>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</si>
  <si>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</si>
  <si>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</si>
  <si>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</si>
  <si>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</si>
  <si>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</si>
  <si>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</si>
  <si>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</si>
  <si>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</si>
  <si>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</si>
  <si>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</si>
  <si>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</si>
  <si>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</si>
  <si>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</si>
  <si>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</si>
  <si>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</si>
  <si>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</si>
  <si>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</si>
  <si>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</si>
  <si>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</si>
  <si>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</si>
  <si>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</si>
  <si>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</si>
  <si>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</si>
  <si>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</si>
  <si>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</si>
  <si>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</si>
  <si>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</si>
  <si>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</si>
  <si>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</si>
  <si>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</si>
  <si>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</si>
  <si>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</si>
  <si>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</si>
  <si>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</si>
  <si>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</si>
  <si>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</si>
  <si>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</si>
  <si>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</si>
  <si>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</si>
  <si>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</si>
  <si>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</si>
  <si>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</si>
  <si>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</si>
  <si>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</si>
  <si>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</si>
  <si>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</si>
  <si>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</si>
  <si>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</si>
  <si>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</si>
  <si>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</si>
  <si>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</si>
  <si>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</si>
  <si>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</si>
  <si>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</si>
  <si>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</si>
  <si>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</si>
  <si>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</si>
  <si>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</si>
  <si>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</si>
  <si>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</si>
  <si>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</si>
  <si>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</si>
  <si>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</si>
  <si>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</si>
  <si>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</si>
  <si>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</si>
  <si>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</si>
  <si>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</si>
  <si>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</si>
  <si>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</si>
  <si>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</si>
  <si>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</si>
  <si>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</si>
  <si>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</si>
  <si>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</si>
  <si>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</si>
  <si>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</si>
  <si>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</si>
  <si>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</si>
  <si>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</si>
  <si>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</si>
  <si>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</si>
  <si>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</si>
  <si>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</si>
  <si>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</si>
  <si>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</si>
  <si>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</si>
  <si>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</si>
  <si>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</si>
  <si>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</si>
  <si>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</si>
  <si>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</si>
  <si>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</si>
  <si>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</si>
  <si>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</si>
  <si>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</si>
  <si>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</si>
  <si>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</si>
  <si>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</si>
  <si>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</si>
  <si>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</si>
  <si>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</si>
  <si>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</si>
  <si>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</si>
  <si>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</si>
  <si>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</si>
  <si>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</si>
  <si>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</si>
  <si>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</si>
  <si>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</si>
  <si>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</si>
  <si>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</si>
  <si>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</si>
  <si>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</si>
  <si>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</si>
  <si>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</si>
  <si>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</si>
  <si>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</si>
  <si>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</si>
  <si>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</si>
  <si>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</si>
  <si>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</si>
  <si>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</si>
  <si>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</si>
  <si>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</si>
  <si>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</si>
  <si>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</si>
  <si>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</si>
  <si>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</si>
  <si>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</si>
  <si>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</si>
  <si>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</si>
  <si>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</si>
  <si>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</si>
  <si>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</si>
  <si>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</si>
  <si>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</si>
  <si>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</si>
  <si>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</si>
  <si>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</si>
  <si>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</si>
  <si>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</si>
  <si>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</si>
  <si>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</si>
  <si>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</si>
  <si>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</si>
  <si>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</si>
  <si>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</si>
  <si>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</si>
  <si>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</si>
  <si>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</si>
  <si>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</si>
  <si>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</si>
  <si>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</si>
  <si>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</si>
  <si>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</si>
  <si>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</si>
  <si>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</si>
  <si>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</si>
  <si>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</si>
  <si>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</si>
  <si>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</si>
  <si>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</si>
  <si>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</si>
  <si>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</si>
  <si>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</si>
  <si>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</si>
  <si>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</si>
  <si>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</si>
  <si>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</si>
  <si>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</si>
  <si>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</si>
  <si>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</si>
  <si>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</si>
  <si>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</si>
  <si>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</si>
  <si>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</si>
  <si>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</si>
  <si>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</si>
  <si>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</si>
  <si>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</si>
  <si>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</si>
  <si>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</si>
  <si>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</si>
  <si>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</si>
  <si>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</si>
  <si>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</si>
  <si>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</si>
  <si>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</si>
  <si>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</si>
  <si>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</si>
  <si>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</si>
  <si>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</si>
  <si>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</si>
  <si>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</si>
  <si>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</si>
  <si>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</si>
  <si>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</si>
  <si>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</si>
  <si>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</si>
  <si>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</si>
  <si>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</si>
  <si>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</si>
  <si>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</si>
  <si>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</si>
  <si>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</si>
  <si>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</si>
  <si>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</si>
  <si>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</si>
  <si>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</si>
  <si>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</si>
  <si>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</si>
  <si>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</si>
  <si>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</si>
  <si>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</si>
  <si>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</si>
  <si>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</si>
  <si>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</si>
  <si>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</si>
  <si>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</si>
  <si>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</si>
  <si>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</si>
  <si>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</si>
  <si>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</si>
  <si>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</si>
  <si>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</si>
  <si>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</si>
  <si>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</si>
  <si>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</si>
  <si>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</si>
  <si>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</si>
  <si>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</si>
  <si>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</si>
  <si>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</si>
  <si>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</si>
  <si>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</si>
  <si>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</si>
  <si>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</si>
  <si>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</si>
  <si>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</si>
  <si>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</si>
  <si>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</si>
  <si>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</si>
  <si>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</si>
  <si>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</si>
  <si>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</si>
  <si>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</si>
  <si>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</si>
  <si>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</si>
  <si>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</si>
  <si>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</si>
  <si>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</si>
  <si>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</si>
  <si>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</si>
  <si>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</si>
  <si>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</si>
  <si>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</si>
  <si>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</si>
  <si>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</si>
  <si>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</si>
  <si>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</si>
  <si>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</si>
  <si>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</si>
  <si>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</si>
  <si>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</si>
  <si>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</si>
  <si>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</si>
  <si>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</si>
  <si>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</si>
  <si>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</si>
  <si>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</si>
  <si>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</si>
  <si>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</si>
  <si>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</si>
  <si>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</si>
  <si>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</si>
  <si>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</si>
  <si>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</si>
  <si>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</si>
  <si>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</si>
  <si>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</si>
  <si>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</si>
  <si>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</si>
  <si>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</si>
  <si>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</si>
  <si>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</si>
  <si>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</si>
  <si>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</si>
  <si>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</si>
  <si>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</si>
  <si>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</si>
  <si>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</si>
  <si>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</si>
  <si>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</si>
  <si>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</si>
  <si>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</si>
  <si>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</si>
  <si>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</si>
  <si>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</si>
  <si>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</si>
  <si>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</si>
  <si>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</si>
  <si>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</si>
  <si>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</si>
  <si>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</si>
  <si>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</si>
  <si>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</si>
  <si>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</si>
  <si>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</si>
  <si>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</si>
  <si>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</si>
  <si>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</si>
  <si>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</si>
  <si>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</si>
  <si>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</si>
  <si>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</si>
  <si>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</si>
  <si>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</si>
  <si>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</si>
  <si>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</si>
  <si>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</si>
  <si>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</si>
  <si>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</si>
  <si>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</si>
  <si>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</si>
  <si>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</si>
  <si>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</si>
  <si>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</si>
  <si>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</si>
  <si>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</si>
  <si>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</si>
  <si>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</si>
  <si>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</si>
  <si>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</si>
  <si>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</si>
  <si>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</si>
  <si>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</si>
  <si>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</si>
  <si>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</si>
  <si>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</si>
  <si>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</si>
  <si>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</si>
  <si>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</si>
  <si>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</si>
  <si>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</si>
  <si>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</si>
  <si>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</si>
  <si>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</si>
  <si>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</si>
  <si>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</si>
  <si>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</si>
  <si>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</si>
  <si>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</si>
  <si>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</si>
  <si>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</si>
  <si>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</si>
  <si>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</si>
  <si>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</si>
  <si>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</si>
  <si>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</si>
  <si>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</si>
  <si>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</si>
  <si>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</si>
  <si>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</si>
  <si>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</si>
  <si>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</si>
  <si>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</si>
  <si>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</si>
  <si>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</si>
  <si>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</si>
  <si>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</si>
  <si>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</si>
  <si>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</si>
  <si>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</si>
  <si>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</si>
  <si>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</si>
  <si>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</si>
  <si>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</si>
  <si>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</si>
  <si>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</si>
  <si>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</si>
  <si>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</si>
  <si>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</si>
  <si>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</si>
  <si>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</si>
  <si>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</si>
  <si>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</si>
  <si>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</si>
  <si>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</si>
  <si>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</si>
  <si>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</si>
  <si>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</si>
  <si>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</si>
  <si>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</si>
  <si>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</si>
  <si>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</si>
  <si>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</si>
  <si>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</si>
  <si>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</si>
  <si>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</si>
  <si>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</si>
  <si>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</si>
  <si>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</si>
  <si>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</si>
  <si>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</si>
  <si>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</si>
  <si>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</si>
  <si>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</si>
  <si>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</si>
  <si>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</si>
  <si>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</si>
  <si>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</si>
  <si>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</si>
  <si>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</si>
  <si>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</si>
  <si>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</si>
  <si>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</si>
  <si>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</si>
  <si>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</si>
  <si>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</si>
  <si>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</si>
  <si>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</si>
  <si>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</si>
  <si>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</si>
  <si>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</si>
  <si>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</si>
  <si>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</si>
  <si>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</si>
  <si>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</si>
  <si>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</si>
  <si>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</si>
  <si>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</si>
  <si>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</si>
  <si>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</si>
  <si>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</si>
  <si>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</si>
  <si>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</si>
  <si>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</si>
  <si>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</si>
  <si>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</si>
  <si>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</si>
  <si>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</si>
  <si>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</si>
  <si>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</si>
  <si>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</si>
  <si>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</si>
  <si>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</si>
  <si>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</si>
  <si>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</si>
  <si>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</si>
  <si>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</si>
  <si>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</si>
  <si>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</si>
  <si>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</si>
  <si>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</si>
  <si>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</si>
  <si>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</si>
  <si>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</si>
  <si>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</si>
  <si>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</si>
  <si>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</si>
  <si>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</si>
  <si>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</si>
  <si>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</si>
  <si>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</si>
  <si>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</si>
  <si>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</si>
  <si>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</si>
  <si>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</si>
  <si>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</si>
  <si>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</si>
  <si>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</si>
  <si>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</si>
  <si>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</si>
  <si>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</si>
  <si>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</si>
  <si>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</si>
  <si>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</si>
  <si>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</si>
  <si>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</si>
  <si>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</si>
  <si>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</si>
  <si>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</si>
  <si>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</si>
  <si>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</si>
  <si>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</si>
  <si>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</si>
  <si>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</si>
  <si>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</si>
  <si>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</si>
  <si>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</si>
  <si>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</si>
  <si>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</si>
  <si>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</si>
  <si>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</si>
  <si>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</si>
  <si>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</si>
  <si>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</si>
  <si>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</si>
  <si>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</si>
  <si>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</si>
  <si>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</si>
  <si>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</si>
  <si>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</si>
  <si>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</si>
  <si>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</si>
  <si>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</si>
  <si>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</si>
  <si>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</si>
  <si>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</si>
  <si>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</si>
  <si>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</si>
  <si>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</si>
  <si>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</si>
  <si>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</si>
  <si>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</si>
  <si>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</si>
  <si>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</si>
  <si>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</si>
  <si>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</si>
  <si>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</si>
  <si>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</si>
  <si>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</si>
  <si>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</si>
  <si>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</si>
  <si>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</si>
  <si>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</si>
  <si>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</si>
  <si>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</si>
  <si>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</si>
  <si>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</si>
  <si>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</si>
  <si>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</si>
  <si>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</si>
  <si>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</si>
  <si>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</si>
  <si>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</si>
  <si>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</si>
  <si>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</si>
  <si>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</si>
  <si>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</si>
  <si>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</si>
  <si>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</si>
  <si>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</si>
  <si>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</si>
  <si>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</si>
  <si>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</si>
  <si>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</si>
  <si>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</si>
  <si>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</si>
  <si>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</si>
  <si>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</si>
  <si>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</si>
  <si>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</si>
  <si>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</si>
  <si>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</si>
  <si>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</si>
  <si>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</si>
  <si>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</si>
  <si>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</si>
  <si>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</si>
  <si>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</si>
  <si>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</si>
  <si>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</si>
  <si>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</si>
  <si>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</si>
  <si>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</si>
  <si>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</si>
  <si>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</si>
  <si>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</si>
  <si>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</si>
  <si>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</si>
  <si>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</si>
  <si>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</si>
  <si>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</si>
  <si>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</si>
  <si>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</si>
  <si>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</si>
  <si>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</si>
  <si>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</si>
  <si>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</si>
  <si>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</si>
  <si>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</si>
  <si>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</si>
  <si>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</si>
  <si>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</si>
  <si>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</si>
  <si>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</si>
  <si>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</si>
  <si>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</si>
  <si>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</si>
  <si>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</si>
  <si>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</si>
  <si>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</si>
  <si>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</si>
  <si>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</si>
  <si>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</si>
  <si>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</si>
  <si>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</si>
  <si>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</si>
  <si>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</si>
  <si>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</si>
  <si>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</si>
  <si>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</si>
  <si>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</si>
  <si>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</si>
  <si>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</si>
  <si>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</si>
  <si>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</si>
  <si>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</si>
  <si>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</si>
  <si>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</si>
  <si>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</si>
  <si>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</si>
  <si>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</si>
  <si>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</si>
  <si>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</si>
  <si>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</si>
  <si>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</si>
  <si>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</si>
  <si>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</si>
  <si>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</si>
  <si>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</si>
  <si>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</si>
  <si>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</si>
  <si>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</si>
  <si>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</si>
  <si>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</si>
  <si>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</si>
  <si>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</si>
  <si>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</si>
  <si>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</si>
  <si>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</si>
  <si>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</si>
  <si>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</si>
  <si>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</si>
  <si>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</si>
  <si>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</si>
  <si>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</si>
  <si>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</si>
  <si>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</si>
  <si>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</si>
  <si>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</si>
  <si>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</si>
  <si>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</si>
  <si>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</si>
  <si>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</si>
  <si>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</si>
  <si>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</si>
  <si>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</si>
  <si>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</si>
  <si>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</si>
  <si>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</si>
  <si>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</si>
  <si>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</si>
  <si>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</si>
  <si>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</si>
  <si>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</si>
  <si>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</si>
  <si>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</si>
  <si>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</si>
  <si>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</si>
  <si>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</si>
  <si>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</si>
  <si>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</si>
  <si>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</si>
  <si>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</si>
  <si>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</si>
  <si>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</si>
  <si>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</si>
  <si>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</si>
  <si>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</si>
  <si>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</si>
  <si>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</si>
  <si>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</si>
  <si>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</si>
  <si>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</si>
  <si>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</si>
  <si>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</si>
  <si>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</si>
  <si>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</si>
  <si>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</si>
  <si>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</si>
  <si>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</si>
  <si>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</si>
  <si>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</si>
  <si>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</si>
  <si>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</si>
  <si>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</si>
  <si>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</si>
  <si>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</si>
  <si>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</si>
  <si>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</si>
  <si>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</si>
  <si>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</si>
  <si>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</si>
  <si>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</si>
  <si>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</si>
  <si>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</si>
  <si>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</si>
  <si>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</si>
  <si>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</si>
  <si>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</si>
  <si>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</si>
  <si>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</si>
  <si>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</si>
  <si>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</si>
  <si>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</si>
  <si>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</si>
  <si>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</si>
  <si>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</si>
  <si>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</si>
  <si>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</si>
  <si>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</si>
  <si>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</si>
  <si>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</si>
  <si>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</si>
  <si>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</si>
  <si>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</si>
  <si>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</si>
  <si>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</si>
  <si>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</si>
  <si>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</si>
  <si>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</si>
  <si>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</si>
  <si>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</si>
  <si>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</si>
  <si>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</si>
  <si>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</si>
  <si>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</si>
  <si>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</si>
  <si>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</si>
  <si>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</si>
  <si>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</si>
  <si>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</si>
  <si>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</si>
  <si>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</si>
  <si>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</si>
  <si>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</si>
  <si>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</si>
  <si>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</si>
  <si>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</si>
  <si>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</si>
  <si>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</si>
  <si>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</si>
  <si>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</si>
  <si>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</si>
  <si>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</si>
  <si>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</si>
  <si>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</si>
  <si>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</si>
  <si>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</si>
  <si>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</si>
  <si>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</si>
  <si>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</si>
  <si>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</si>
  <si>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</si>
  <si>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</si>
  <si>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</si>
  <si>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</si>
  <si>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</si>
  <si>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</si>
  <si>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</si>
  <si>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</si>
  <si>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</si>
  <si>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</si>
  <si>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</si>
  <si>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</si>
  <si>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</si>
  <si>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</si>
  <si>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</si>
  <si>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</si>
  <si>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</si>
  <si>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</si>
  <si>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</si>
  <si>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</si>
  <si>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</si>
  <si>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</si>
  <si>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</si>
  <si>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</si>
  <si>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</si>
  <si>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</si>
  <si>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</si>
  <si>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</si>
  <si>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</si>
  <si>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</si>
  <si>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</si>
  <si>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</si>
  <si>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</si>
  <si>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</si>
  <si>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</si>
  <si>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</si>
  <si>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</si>
  <si>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</si>
  <si>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</si>
  <si>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</si>
  <si>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</si>
  <si>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</si>
  <si>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</si>
  <si>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</si>
  <si>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</si>
  <si>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</si>
  <si>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</si>
  <si>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</si>
  <si>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</si>
  <si>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</si>
  <si>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</si>
  <si>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</si>
  <si>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</si>
  <si>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</si>
  <si>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</si>
  <si>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</si>
  <si>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</si>
  <si>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</si>
  <si>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</si>
  <si>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</si>
  <si>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</si>
  <si>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</si>
  <si>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</si>
  <si>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</si>
  <si>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</si>
  <si>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</si>
  <si>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</si>
  <si>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</si>
  <si>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</si>
  <si>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</si>
  <si>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</si>
  <si>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</si>
  <si>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</si>
  <si>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</si>
  <si>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</si>
  <si>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</si>
  <si>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</si>
  <si>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</si>
  <si>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</si>
  <si>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</si>
  <si>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</si>
  <si>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</si>
  <si>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</si>
  <si>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</si>
  <si>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</si>
  <si>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</si>
  <si>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</si>
  <si>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</si>
  <si>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</si>
  <si>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</si>
  <si>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</si>
  <si>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</si>
  <si>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</si>
  <si>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</si>
  <si>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</si>
  <si>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</si>
  <si>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</si>
  <si>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</si>
  <si>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</si>
  <si>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</si>
  <si>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</si>
  <si>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</si>
  <si>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</si>
  <si>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</si>
  <si>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</si>
  <si>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</si>
  <si>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</si>
  <si>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</si>
  <si>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</si>
  <si>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</si>
  <si>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</si>
  <si>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</si>
  <si>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</si>
  <si>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</si>
  <si>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</si>
  <si>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</si>
  <si>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</si>
  <si>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</si>
  <si>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</si>
  <si>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</si>
  <si>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</si>
  <si>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</si>
  <si>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</si>
  <si>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</si>
  <si>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</si>
  <si>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</si>
  <si>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</si>
  <si>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</si>
  <si>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</si>
  <si>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</si>
  <si>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</si>
  <si>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</si>
  <si>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</si>
  <si>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</si>
  <si>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</si>
  <si>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</si>
  <si>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</si>
  <si>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</si>
  <si>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</si>
  <si>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</si>
  <si>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</si>
  <si>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</si>
  <si>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</si>
  <si>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</si>
  <si>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</si>
  <si>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</si>
  <si>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</si>
  <si>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</si>
  <si>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</si>
  <si>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</si>
  <si>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</si>
  <si>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</si>
  <si>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</si>
  <si>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</si>
  <si>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</si>
  <si>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</si>
  <si>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</si>
  <si>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</si>
  <si>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</si>
  <si>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</si>
  <si>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</si>
  <si>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</si>
  <si>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</si>
  <si>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</si>
  <si>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</si>
  <si>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</si>
  <si>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</si>
  <si>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</si>
  <si>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</si>
  <si>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</si>
  <si>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</si>
  <si>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</si>
  <si>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</si>
  <si>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</si>
  <si>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</si>
  <si>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</si>
  <si>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</si>
  <si>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</si>
  <si>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</si>
  <si>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</si>
  <si>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</si>
  <si>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</si>
  <si>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</si>
  <si>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</si>
  <si>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</si>
  <si>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</si>
  <si>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</si>
  <si>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</si>
  <si>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</si>
  <si>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</si>
  <si>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</si>
  <si>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</si>
  <si>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</si>
  <si>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</si>
  <si>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</si>
  <si>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</si>
  <si>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</si>
  <si>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</si>
  <si>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</si>
  <si>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</si>
  <si>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</si>
  <si>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</si>
  <si>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</si>
  <si>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</si>
  <si>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</si>
  <si>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</si>
  <si>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</si>
  <si>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</si>
  <si>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</si>
  <si>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</si>
  <si>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</si>
  <si>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</si>
  <si>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</si>
  <si>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</si>
  <si>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</si>
  <si>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</si>
  <si>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</si>
  <si>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</si>
  <si>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</si>
  <si>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</si>
  <si>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</si>
  <si>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</si>
  <si>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</si>
  <si>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</si>
  <si>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</si>
  <si>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</si>
  <si>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</si>
  <si>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</si>
  <si>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</si>
  <si>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</si>
  <si>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</si>
  <si>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</si>
  <si>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</si>
  <si>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</si>
  <si>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</si>
  <si>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</si>
  <si>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</si>
  <si>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</si>
  <si>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</si>
  <si>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</si>
  <si>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</si>
  <si>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</si>
  <si>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</si>
  <si>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</si>
  <si>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</si>
  <si>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</si>
  <si>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</si>
  <si>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</si>
  <si>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</si>
  <si>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</si>
  <si>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</si>
  <si>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</si>
  <si>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</si>
  <si>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</si>
  <si>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</si>
  <si>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</si>
  <si>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</si>
  <si>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</si>
  <si>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</si>
  <si>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</si>
  <si>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</si>
  <si>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</si>
  <si>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</si>
  <si>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</si>
  <si>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</si>
  <si>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</si>
  <si>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</si>
  <si>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</si>
  <si>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</si>
  <si>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</si>
  <si>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</si>
  <si>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</si>
  <si>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</si>
  <si>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</si>
  <si>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</si>
  <si>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</si>
  <si>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</si>
  <si>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</si>
  <si>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</si>
  <si>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</si>
  <si>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</si>
  <si>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</si>
  <si>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</si>
  <si>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</si>
  <si>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</si>
  <si>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</si>
  <si>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</si>
  <si>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</si>
  <si>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</si>
  <si>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</si>
  <si>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</si>
  <si>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</si>
  <si>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</si>
  <si>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</si>
  <si>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</si>
  <si>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</si>
  <si>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</si>
  <si>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</si>
  <si>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</si>
  <si>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</si>
  <si>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</si>
  <si>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</si>
  <si>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</si>
  <si>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</si>
  <si>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</si>
  <si>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</si>
  <si>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</si>
  <si>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</si>
  <si>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</si>
  <si>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</si>
  <si>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</si>
  <si>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</si>
  <si>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</si>
  <si>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</si>
  <si>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</si>
  <si>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</si>
  <si>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</si>
  <si>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</si>
  <si>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</si>
  <si>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</si>
  <si>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</si>
  <si>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</si>
  <si>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</si>
  <si>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</si>
  <si>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</si>
  <si>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</si>
  <si>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</si>
  <si>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</si>
  <si>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</si>
  <si>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</si>
  <si>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</si>
  <si>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</si>
  <si>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</si>
  <si>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</si>
  <si>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</si>
  <si>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</si>
  <si>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</si>
  <si>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</si>
  <si>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</si>
  <si>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</si>
  <si>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</si>
  <si>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</si>
  <si>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</si>
  <si>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</si>
  <si>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</si>
  <si>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</si>
  <si>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</si>
  <si>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</si>
  <si>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</si>
  <si>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</si>
  <si>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</si>
  <si>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</si>
  <si>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</si>
  <si>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</si>
  <si>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</si>
  <si>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</si>
  <si>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</si>
  <si>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</si>
  <si>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</si>
  <si>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</si>
  <si>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</si>
  <si>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</si>
  <si>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</si>
  <si>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</si>
  <si>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</si>
  <si>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</si>
  <si>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</si>
  <si>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</si>
  <si>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</si>
  <si>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</si>
  <si>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</si>
  <si>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</si>
  <si>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</si>
  <si>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</si>
  <si>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</si>
  <si>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</si>
  <si>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</si>
  <si>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</si>
  <si>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</si>
  <si>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</si>
  <si>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</si>
  <si>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</si>
  <si>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</si>
  <si>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</si>
  <si>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</si>
  <si>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</si>
  <si>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</si>
  <si>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</si>
  <si>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</si>
  <si>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</si>
  <si>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</si>
  <si>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</si>
  <si>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</si>
  <si>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</si>
  <si>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</si>
  <si>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</si>
  <si>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</si>
  <si>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</si>
  <si>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</si>
  <si>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</si>
  <si>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</si>
  <si>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</si>
  <si>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</si>
  <si>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</si>
  <si>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</si>
  <si>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</si>
  <si>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</si>
  <si>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</si>
  <si>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</si>
  <si>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</si>
  <si>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</si>
  <si>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</si>
  <si>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</si>
  <si>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</si>
  <si>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</si>
  <si>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</si>
  <si>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</si>
  <si>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</si>
  <si>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</si>
  <si>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</si>
  <si>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</si>
  <si>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</si>
  <si>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</si>
  <si>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</si>
  <si>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</si>
  <si>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</si>
  <si>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</si>
  <si>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</si>
  <si>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</si>
  <si>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</si>
  <si>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</si>
  <si>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</si>
  <si>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</si>
  <si>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</si>
  <si>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</si>
  <si>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</si>
  <si>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</si>
  <si>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</si>
  <si>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</si>
  <si>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</si>
  <si>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</si>
  <si>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</si>
  <si>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</si>
  <si>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</si>
  <si>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</si>
  <si>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</si>
  <si>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</si>
  <si>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</si>
  <si>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</si>
  <si>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</si>
  <si>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</si>
  <si>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</si>
  <si>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</si>
  <si>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</si>
  <si>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</si>
  <si>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</si>
  <si>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</si>
  <si>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</si>
  <si>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</si>
  <si>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</si>
  <si>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</si>
  <si>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</si>
  <si>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</si>
  <si>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</si>
  <si>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</si>
  <si>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</si>
  <si>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</si>
  <si>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</si>
  <si>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</si>
  <si>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</si>
  <si>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</si>
  <si>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</si>
  <si>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</si>
  <si>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</si>
  <si>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</si>
  <si>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</si>
  <si>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</si>
  <si>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</si>
  <si>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</si>
  <si>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</si>
  <si>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</si>
  <si>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</si>
  <si>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</si>
  <si>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</si>
  <si>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</si>
  <si>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</si>
  <si>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</si>
  <si>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</si>
  <si>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</si>
  <si>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</si>
  <si>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</si>
  <si>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</si>
  <si>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</si>
  <si>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</si>
  <si>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</si>
  <si>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</si>
  <si>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</si>
  <si>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</si>
  <si>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</si>
  <si>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</si>
  <si>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</si>
  <si>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</si>
  <si>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</si>
  <si>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</si>
  <si>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</si>
  <si>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</si>
  <si>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</si>
  <si>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</si>
  <si>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</si>
  <si>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</si>
  <si>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</si>
  <si>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</si>
  <si>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</si>
  <si>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</si>
  <si>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</si>
  <si>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</si>
  <si>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</si>
  <si>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</si>
  <si>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</si>
  <si>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</si>
  <si>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</si>
  <si>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</si>
  <si>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</si>
  <si>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</si>
  <si>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</si>
  <si>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</si>
  <si>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</si>
  <si>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</si>
  <si>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</si>
  <si>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</si>
  <si>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</si>
  <si>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</si>
  <si>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</si>
  <si>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</si>
  <si>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</si>
  <si>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</si>
  <si>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</si>
  <si>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</si>
  <si>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</si>
  <si>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</si>
  <si>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</si>
  <si>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</si>
  <si>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</si>
  <si>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</si>
  <si>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</si>
  <si>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</si>
  <si>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</si>
  <si>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</si>
  <si>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</si>
  <si>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</si>
  <si>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</si>
  <si>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</si>
  <si>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</si>
  <si>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</si>
  <si>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</si>
  <si>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</si>
  <si>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</si>
  <si>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</si>
  <si>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</si>
  <si>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</si>
  <si>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</si>
  <si>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</si>
  <si>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</si>
  <si>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</si>
  <si>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</si>
  <si>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</si>
  <si>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</si>
  <si>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</si>
  <si>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</si>
  <si>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</si>
  <si>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</si>
  <si>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</si>
  <si>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</si>
  <si>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</si>
  <si>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</si>
  <si>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</si>
  <si>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</si>
  <si>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</si>
  <si>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</si>
  <si>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</si>
  <si>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</si>
  <si>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</si>
  <si>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</si>
  <si>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</si>
  <si>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</si>
  <si>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</si>
  <si>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</si>
  <si>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</si>
  <si>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</si>
  <si>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</si>
  <si>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</si>
  <si>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</si>
  <si>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</si>
  <si>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</si>
  <si>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</si>
  <si>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</si>
  <si>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</si>
  <si>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</si>
  <si>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</si>
  <si>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</si>
  <si>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</si>
  <si>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</si>
  <si>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</si>
  <si>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</si>
  <si>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</si>
  <si>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</si>
  <si>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</si>
  <si>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</si>
  <si>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</si>
  <si>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</si>
  <si>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</si>
  <si>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</si>
  <si>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</si>
  <si>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</si>
  <si>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</si>
  <si>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</si>
  <si>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</si>
  <si>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</si>
  <si>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</si>
  <si>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</si>
  <si>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</si>
  <si>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</si>
  <si>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</si>
  <si>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</si>
  <si>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</si>
  <si>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</si>
  <si>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</si>
  <si>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</si>
  <si>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</si>
  <si>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</si>
  <si>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</si>
  <si>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</si>
  <si>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</si>
  <si>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</si>
  <si>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</si>
  <si>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</si>
  <si>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</si>
  <si>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</si>
  <si>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</si>
  <si>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</si>
  <si>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</si>
  <si>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</si>
  <si>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</si>
  <si>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</si>
  <si>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</si>
  <si>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</si>
  <si>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</si>
  <si>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</si>
  <si>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</si>
  <si>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</si>
  <si>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</si>
  <si>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</si>
  <si>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</si>
  <si>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</si>
  <si>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</si>
  <si>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</si>
  <si>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</si>
  <si>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</si>
  <si>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</si>
  <si>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</si>
  <si>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</si>
  <si>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</si>
  <si>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</si>
  <si>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</si>
  <si>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</si>
  <si>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</si>
  <si>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</si>
  <si>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</si>
  <si>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</si>
  <si>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</si>
  <si>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</si>
  <si>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</si>
  <si>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</si>
  <si>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</si>
  <si>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</si>
  <si>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</si>
  <si>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</si>
  <si>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</si>
  <si>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</si>
  <si>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</si>
  <si>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</si>
  <si>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</si>
  <si>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</si>
  <si>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</si>
  <si>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</si>
  <si>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</si>
  <si>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</si>
  <si>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</si>
  <si>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</si>
  <si>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</si>
  <si>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</si>
  <si>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</si>
  <si>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</si>
  <si>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</si>
  <si>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</si>
  <si>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</si>
  <si>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</si>
  <si>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</si>
  <si>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</si>
  <si>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</si>
  <si>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</si>
  <si>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</si>
  <si>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</si>
  <si>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</si>
  <si>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</si>
  <si>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</si>
  <si>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</si>
  <si>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</si>
  <si>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</si>
  <si>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</si>
  <si>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</si>
  <si>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</si>
  <si>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</si>
  <si>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</si>
  <si>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</si>
  <si>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</si>
  <si>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</si>
  <si>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</si>
  <si>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</si>
  <si>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</si>
  <si>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</si>
  <si>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</si>
  <si>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</si>
  <si>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</si>
  <si>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</si>
  <si>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</si>
  <si>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</si>
  <si>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</si>
  <si>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</si>
  <si>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</si>
  <si>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</si>
  <si>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</si>
  <si>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</si>
  <si>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</si>
  <si>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</si>
  <si>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</si>
  <si>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</si>
  <si>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</si>
  <si>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</si>
  <si>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</si>
  <si>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</si>
  <si>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</si>
  <si>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</si>
  <si>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</si>
  <si>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</si>
  <si>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</si>
  <si>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</si>
  <si>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</si>
  <si>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</si>
  <si>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</si>
  <si>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</si>
  <si>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</si>
  <si>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</si>
  <si>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</si>
  <si>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</si>
  <si>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</si>
  <si>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</si>
  <si>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</si>
  <si>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</si>
  <si>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</si>
  <si>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</si>
  <si>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</si>
  <si>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</si>
  <si>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</si>
  <si>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</si>
  <si>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</si>
  <si>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</si>
  <si>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</si>
  <si>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</si>
  <si>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</si>
  <si>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</si>
  <si>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</si>
  <si>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</si>
  <si>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</si>
  <si>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</si>
  <si>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</si>
  <si>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</si>
  <si>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</si>
  <si>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</si>
  <si>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</si>
  <si>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</si>
  <si>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</si>
  <si>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</si>
  <si>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</si>
  <si>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</si>
  <si>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</si>
  <si>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</si>
  <si>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</si>
  <si>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</si>
  <si>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</si>
  <si>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</si>
  <si>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</si>
  <si>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</si>
  <si>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</si>
  <si>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</si>
  <si>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</si>
  <si>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</si>
  <si>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</si>
  <si>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</si>
  <si>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</si>
  <si>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</si>
  <si>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</si>
  <si>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</si>
  <si>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</si>
  <si>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</si>
  <si>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</si>
  <si>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</si>
  <si>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</si>
  <si>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</si>
  <si>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</si>
  <si>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</si>
  <si>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</si>
  <si>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</si>
  <si>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</si>
  <si>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</si>
  <si>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</si>
  <si>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</si>
  <si>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</si>
  <si>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</si>
  <si>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</si>
  <si>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</si>
  <si>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</si>
  <si>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</si>
  <si>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</si>
  <si>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</si>
  <si>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</si>
  <si>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</si>
  <si>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</si>
  <si>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</si>
  <si>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</si>
  <si>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</si>
  <si>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</si>
  <si>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</si>
  <si>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</si>
  <si>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</si>
  <si>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</si>
  <si>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</si>
  <si>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</si>
  <si>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</si>
  <si>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</si>
  <si>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</si>
  <si>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</si>
  <si>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</si>
  <si>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</si>
  <si>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</si>
  <si>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</si>
  <si>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</si>
  <si>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</si>
  <si>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</si>
  <si>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</si>
  <si>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</si>
  <si>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</si>
  <si>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</si>
  <si>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</si>
  <si>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</si>
  <si>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</si>
  <si>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</si>
  <si>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</si>
  <si>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</si>
  <si>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</si>
  <si>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</si>
  <si>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</si>
  <si>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</si>
  <si>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</si>
  <si>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</si>
  <si>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</si>
  <si>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</si>
  <si>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</si>
  <si>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</si>
  <si>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</si>
  <si>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</si>
  <si>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</si>
  <si>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</si>
  <si>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</si>
  <si>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</si>
  <si>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</si>
  <si>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</si>
  <si>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</si>
  <si>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</si>
  <si>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</si>
  <si>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</si>
  <si>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</si>
  <si>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</si>
  <si>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</si>
  <si>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</si>
  <si>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</si>
  <si>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</si>
  <si>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</si>
  <si>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</si>
  <si>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</si>
  <si>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</si>
  <si>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</si>
  <si>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</si>
  <si>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</si>
  <si>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</si>
  <si>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</si>
  <si>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</si>
  <si>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</si>
  <si>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</si>
  <si>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</si>
  <si>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</si>
  <si>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</si>
  <si>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</si>
  <si>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</si>
  <si>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</si>
  <si>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</si>
  <si>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</si>
  <si>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</si>
  <si>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</si>
  <si>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</si>
  <si>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</si>
  <si>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</si>
  <si>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</si>
  <si>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</si>
  <si>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</si>
  <si>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</si>
  <si>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</si>
  <si>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</si>
  <si>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</si>
  <si>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</si>
  <si>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</si>
  <si>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</si>
  <si>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</si>
  <si>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</si>
  <si>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</si>
  <si>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</si>
  <si>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</si>
  <si>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</si>
  <si>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</si>
  <si>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</si>
  <si>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</si>
  <si>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</si>
  <si>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</si>
  <si>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</si>
  <si>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</si>
  <si>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</si>
  <si>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</si>
  <si>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</si>
  <si>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</si>
  <si>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</si>
  <si>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</si>
  <si>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</si>
  <si>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</si>
  <si>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</si>
  <si>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</si>
  <si>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</si>
  <si>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</si>
  <si>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</si>
  <si>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</si>
  <si>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</si>
  <si>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</si>
  <si>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</si>
  <si>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</si>
  <si>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</si>
  <si>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</si>
  <si>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</si>
  <si>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</si>
  <si>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</si>
  <si>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</si>
  <si>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</si>
  <si>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</si>
  <si>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</si>
  <si>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</si>
  <si>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</si>
  <si>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</si>
  <si>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</si>
  <si>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</si>
  <si>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</si>
  <si>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</si>
  <si>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</si>
  <si>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</si>
  <si>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</si>
  <si>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</si>
  <si>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</si>
  <si>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</si>
  <si>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</si>
  <si>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</si>
  <si>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</si>
  <si>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</si>
  <si>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</si>
  <si>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</si>
  <si>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</si>
  <si>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</si>
  <si>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</si>
  <si>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</si>
  <si>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</si>
  <si>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</si>
  <si>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</si>
  <si>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</si>
  <si>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</si>
  <si>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</si>
  <si>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</si>
  <si>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</si>
  <si>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</si>
  <si>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</si>
  <si>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</si>
  <si>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</si>
  <si>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</si>
  <si>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</si>
  <si>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</si>
  <si>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</si>
  <si>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</si>
  <si>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</si>
  <si>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</si>
  <si>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</si>
  <si>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</si>
  <si>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</si>
  <si>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</si>
  <si>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</si>
  <si>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</si>
  <si>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</si>
  <si>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</si>
  <si>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</si>
  <si>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</si>
  <si>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</si>
  <si>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</si>
  <si>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</si>
  <si>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</si>
  <si>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</si>
  <si>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</si>
  <si>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</si>
  <si>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</si>
  <si>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</si>
  <si>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</si>
  <si>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</si>
  <si>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</si>
  <si>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</si>
  <si>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</si>
  <si>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</si>
  <si>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</si>
  <si>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</si>
  <si>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</si>
  <si>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</si>
  <si>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</si>
  <si>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</si>
  <si>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</si>
  <si>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</si>
  <si>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</si>
  <si>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</si>
  <si>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</si>
  <si>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</si>
  <si>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</si>
  <si>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</si>
  <si>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</si>
  <si>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</si>
  <si>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</si>
  <si>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</si>
  <si>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</si>
  <si>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</si>
  <si>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</si>
  <si>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</si>
  <si>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</si>
  <si>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</si>
  <si>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</si>
  <si>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</si>
  <si>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</si>
  <si>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</si>
  <si>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</si>
  <si>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</si>
  <si>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</si>
  <si>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</si>
  <si>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</si>
  <si>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</si>
  <si>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</si>
  <si>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</si>
  <si>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</si>
  <si>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</si>
  <si>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</si>
  <si>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</si>
  <si>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</si>
  <si>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</si>
  <si>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</si>
  <si>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</si>
  <si>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</si>
  <si>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</si>
  <si>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</si>
  <si>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</si>
  <si>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</si>
  <si>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</si>
  <si>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</si>
  <si>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</si>
  <si>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</si>
  <si>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</si>
  <si>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</si>
  <si>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</si>
  <si>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</si>
  <si>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</si>
  <si>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</si>
  <si>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</si>
  <si>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</si>
  <si>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</si>
  <si>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</si>
  <si>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</si>
  <si>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</si>
  <si>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</si>
  <si>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</si>
  <si>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</si>
  <si>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</si>
  <si>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</si>
  <si>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</si>
  <si>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</si>
  <si>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</si>
  <si>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</si>
  <si>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</si>
  <si>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</si>
  <si>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</si>
  <si>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</si>
  <si>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</si>
  <si>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</si>
  <si>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</si>
  <si>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</si>
  <si>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</si>
  <si>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</si>
  <si>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</si>
  <si>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</si>
  <si>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</si>
  <si>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</si>
  <si>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</si>
  <si>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</si>
  <si>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</si>
  <si>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</si>
  <si>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</si>
  <si>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</si>
  <si>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</si>
  <si>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</si>
  <si>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</si>
  <si>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</si>
  <si>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</si>
  <si>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</si>
  <si>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</si>
  <si>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</si>
  <si>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</si>
  <si>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</si>
  <si>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</si>
  <si>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</si>
  <si>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</si>
  <si>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</si>
  <si>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</si>
  <si>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</si>
  <si>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</si>
  <si>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</si>
  <si>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</si>
  <si>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</si>
  <si>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</si>
  <si>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</si>
  <si>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</si>
  <si>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</si>
  <si>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</si>
  <si>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</si>
  <si>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</si>
  <si>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</si>
  <si>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</si>
  <si>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</si>
  <si>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</si>
  <si>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</si>
  <si>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</si>
  <si>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</si>
  <si>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</si>
  <si>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</si>
  <si>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</si>
  <si>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</si>
  <si>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</si>
  <si>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</si>
  <si>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</si>
  <si>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</si>
  <si>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</si>
  <si>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</si>
  <si>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</si>
  <si>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</si>
  <si>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</si>
  <si>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</si>
  <si>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</si>
  <si>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</si>
  <si>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</si>
  <si>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</si>
  <si>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</si>
  <si>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</si>
  <si>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</si>
  <si>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</si>
  <si>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</si>
  <si>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</si>
  <si>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</si>
  <si>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</si>
  <si>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</si>
  <si>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</si>
  <si>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</si>
  <si>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</si>
  <si>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</si>
  <si>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</si>
  <si>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</si>
  <si>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</si>
  <si>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</si>
  <si>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</si>
  <si>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</si>
  <si>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</si>
  <si>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</si>
  <si>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</si>
  <si>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</si>
  <si>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</si>
  <si>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</si>
  <si>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</si>
  <si>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</si>
  <si>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</si>
  <si>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</si>
  <si>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</si>
  <si>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</si>
  <si>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</si>
  <si>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</si>
  <si>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</si>
  <si>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</si>
  <si>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</si>
  <si>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</si>
  <si>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</si>
  <si>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</si>
  <si>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</si>
  <si>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</si>
  <si>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</si>
  <si>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</si>
  <si>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</si>
  <si>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</si>
  <si>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</si>
  <si>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</si>
  <si>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</si>
  <si>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</si>
  <si>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</si>
  <si>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</si>
  <si>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</si>
  <si>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</si>
  <si>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</si>
  <si>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</si>
  <si>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</si>
  <si>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</si>
  <si>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</si>
  <si>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</si>
  <si>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</si>
  <si>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</si>
  <si>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</si>
  <si>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</si>
  <si>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</si>
  <si>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</si>
  <si>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</si>
  <si>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</si>
  <si>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</si>
  <si>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</si>
  <si>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</si>
  <si>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</si>
  <si>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</si>
  <si>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</si>
  <si>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</si>
  <si>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</si>
  <si>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</si>
  <si>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</si>
  <si>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</si>
  <si>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</si>
  <si>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</si>
  <si>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</si>
  <si>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</si>
  <si>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</si>
  <si>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</si>
  <si>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</si>
  <si>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</si>
  <si>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</si>
  <si>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</si>
  <si>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</si>
  <si>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</si>
  <si>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</si>
  <si>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</si>
  <si>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</si>
  <si>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</si>
  <si>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</si>
  <si>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</si>
  <si>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</si>
  <si>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</si>
  <si>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</si>
  <si>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</si>
  <si>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</si>
  <si>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</si>
  <si>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</si>
  <si>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</si>
  <si>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</si>
  <si>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</si>
  <si>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</si>
  <si>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</si>
  <si>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</si>
  <si>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</si>
  <si>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</si>
  <si>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</si>
  <si>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</si>
  <si>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</si>
  <si>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</si>
  <si>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</si>
  <si>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</si>
  <si>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</si>
  <si>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</si>
  <si>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</si>
  <si>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</si>
  <si>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</si>
  <si>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</si>
  <si>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</si>
  <si>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</si>
  <si>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</si>
  <si>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</si>
  <si>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</si>
  <si>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</si>
  <si>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</si>
  <si>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</si>
  <si>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</si>
  <si>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</si>
  <si>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</si>
  <si>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</si>
  <si>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</si>
  <si>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</si>
  <si>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</si>
  <si>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</si>
  <si>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</si>
  <si>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</si>
  <si>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</si>
  <si>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</si>
  <si>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</si>
  <si>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</si>
  <si>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</si>
  <si>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</si>
  <si>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</si>
  <si>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</si>
  <si>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</si>
  <si>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</si>
  <si>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</si>
  <si>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</si>
  <si>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</si>
  <si>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</si>
  <si>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</si>
  <si>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</si>
  <si>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</si>
  <si>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</si>
  <si>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</si>
  <si>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</si>
  <si>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</si>
  <si>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</si>
  <si>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</si>
  <si>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</si>
  <si>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</si>
  <si>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</si>
  <si>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</si>
  <si>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</si>
  <si>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</si>
  <si>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</si>
  <si>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</si>
  <si>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</si>
  <si>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</si>
  <si>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</si>
  <si>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</si>
  <si>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</si>
  <si>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</si>
  <si>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</si>
  <si>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</si>
  <si>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</si>
  <si>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</si>
  <si>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</si>
  <si>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</si>
  <si>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</si>
  <si>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</si>
  <si>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</si>
  <si>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</si>
  <si>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</si>
  <si>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</si>
  <si>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</si>
  <si>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</si>
  <si>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</si>
  <si>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</si>
  <si>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</si>
  <si>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</si>
  <si>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</si>
  <si>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</si>
  <si>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</si>
  <si>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</si>
  <si>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</si>
  <si>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</si>
  <si>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</si>
  <si>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</si>
  <si>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</si>
  <si>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</si>
  <si>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</si>
  <si>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</si>
  <si>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</si>
  <si>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</si>
  <si>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</si>
  <si>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</si>
  <si>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</si>
  <si>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</si>
  <si>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</si>
  <si>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</si>
  <si>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</si>
  <si>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</si>
  <si>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</si>
  <si>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</si>
  <si>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</si>
  <si>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</si>
  <si>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</si>
  <si>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</si>
  <si>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</si>
  <si>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</si>
  <si>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</si>
  <si>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</si>
  <si>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</si>
  <si>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</si>
  <si>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</si>
  <si>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</si>
  <si>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</si>
  <si>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</si>
  <si>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</si>
  <si>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</si>
  <si>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</si>
  <si>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</si>
  <si>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</si>
  <si>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</si>
  <si>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</si>
  <si>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</si>
  <si>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</si>
  <si>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</si>
  <si>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</si>
  <si>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</si>
  <si>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</si>
  <si>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</si>
  <si>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</si>
  <si>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</si>
  <si>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</si>
  <si>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</si>
  <si>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</si>
  <si>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</si>
  <si>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</si>
  <si>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</si>
  <si>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</si>
  <si>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</si>
  <si>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</si>
  <si>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</si>
  <si>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</si>
  <si>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</si>
  <si>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</si>
  <si>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</si>
  <si>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</si>
  <si>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</si>
  <si>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</si>
  <si>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</si>
  <si>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</si>
  <si>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</si>
  <si>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</si>
  <si>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</si>
  <si>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</si>
  <si>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</si>
  <si>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</si>
  <si>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</si>
  <si>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</si>
  <si>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</si>
  <si>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</si>
  <si>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</si>
  <si>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</si>
  <si>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</si>
  <si>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</si>
  <si>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</si>
  <si>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</si>
  <si>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</si>
  <si>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</si>
  <si>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</si>
  <si>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</si>
  <si>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</si>
  <si>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</si>
  <si>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</si>
  <si>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</si>
  <si>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</si>
  <si>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</si>
  <si>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</si>
  <si>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</si>
  <si>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</si>
  <si>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</si>
  <si>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</si>
  <si>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</si>
  <si>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</si>
  <si>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</si>
  <si>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</si>
  <si>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</si>
  <si>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</si>
  <si>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</si>
  <si>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</si>
  <si>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</si>
  <si>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</si>
  <si>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</si>
  <si>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</si>
  <si>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</si>
  <si>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</si>
  <si>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</si>
  <si>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</si>
  <si>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</si>
  <si>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</si>
  <si>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</si>
  <si>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</si>
  <si>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</si>
  <si>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</si>
  <si>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</si>
  <si>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</si>
  <si>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</si>
  <si>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</si>
  <si>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</si>
  <si>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</si>
  <si>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</si>
  <si>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</si>
  <si>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</si>
  <si>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</si>
  <si>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</si>
  <si>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</si>
  <si>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</si>
  <si>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</si>
  <si>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</si>
  <si>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</si>
  <si>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</si>
  <si>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</si>
  <si>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</si>
  <si>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</si>
  <si>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</si>
  <si>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</si>
  <si>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</si>
  <si>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</si>
  <si>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</si>
  <si>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</si>
  <si>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</si>
  <si>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</si>
  <si>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</si>
  <si>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</si>
  <si>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</si>
  <si>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</si>
  <si>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</si>
  <si>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</si>
  <si>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</si>
  <si>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</si>
  <si>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</si>
  <si>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</si>
  <si>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</si>
  <si>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</si>
  <si>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</si>
  <si>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</si>
  <si>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</si>
  <si>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</si>
  <si>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</si>
  <si>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</si>
  <si>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</si>
  <si>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</si>
  <si>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</si>
  <si>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</si>
  <si>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</si>
  <si>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</si>
  <si>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</si>
  <si>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</si>
  <si>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</si>
  <si>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</si>
  <si>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</si>
  <si>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</si>
  <si>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</si>
  <si>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</si>
  <si>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</si>
  <si>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</si>
  <si>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</si>
  <si>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</si>
  <si>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</si>
  <si>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</si>
  <si>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</si>
  <si>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</si>
  <si>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</si>
  <si>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</si>
  <si>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</si>
  <si>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</si>
  <si>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</si>
  <si>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</si>
  <si>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</si>
  <si>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</si>
  <si>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</si>
  <si>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</si>
  <si>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</si>
  <si>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</si>
  <si>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</si>
  <si>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</si>
  <si>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</si>
  <si>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</si>
  <si>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</si>
  <si>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</si>
  <si>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</si>
  <si>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</si>
  <si>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</si>
  <si>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</si>
  <si>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</si>
  <si>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</si>
  <si>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</si>
  <si>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</si>
  <si>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</si>
  <si>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</si>
  <si>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</si>
  <si>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</si>
  <si>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</si>
  <si>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</si>
  <si>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</si>
  <si>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</si>
  <si>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</si>
  <si>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</si>
  <si>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</si>
  <si>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</si>
  <si>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</si>
  <si>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</si>
  <si>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</si>
  <si>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</si>
  <si>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</si>
  <si>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</si>
  <si>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</si>
  <si>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</si>
  <si>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</si>
  <si>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</si>
  <si>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</si>
  <si>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</si>
  <si>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</si>
  <si>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</si>
  <si>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</si>
  <si>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</si>
  <si>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</si>
  <si>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</si>
  <si>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</si>
  <si>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</si>
  <si>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</si>
  <si>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</si>
  <si>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</si>
  <si>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</si>
  <si>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</si>
  <si>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</si>
  <si>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</si>
  <si>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</si>
  <si>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</si>
  <si>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</si>
  <si>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</si>
  <si>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</si>
  <si>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</si>
  <si>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</si>
  <si>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</si>
  <si>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</si>
  <si>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</si>
  <si>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</si>
  <si>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</si>
  <si>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</si>
  <si>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</si>
  <si>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</si>
  <si>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</si>
  <si>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</si>
  <si>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</si>
  <si>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</si>
  <si>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</si>
  <si>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</si>
  <si>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</si>
  <si>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</si>
  <si>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</si>
  <si>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</si>
  <si>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</si>
  <si>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</si>
  <si>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</si>
  <si>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</si>
  <si>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</si>
  <si>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</si>
  <si>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</si>
  <si>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</si>
  <si>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</si>
  <si>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</si>
  <si>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</si>
  <si>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</si>
  <si>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</si>
  <si>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</si>
  <si>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</si>
  <si>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</si>
  <si>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</si>
  <si>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</si>
  <si>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</si>
  <si>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</si>
  <si>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</si>
  <si>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</si>
  <si>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</si>
  <si>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</si>
  <si>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</si>
  <si>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</si>
  <si>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</si>
  <si>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</si>
  <si>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</si>
  <si>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</si>
  <si>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</si>
  <si>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</si>
  <si>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</si>
  <si>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</si>
  <si>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</si>
  <si>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</si>
  <si>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</si>
  <si>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</si>
  <si>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</si>
  <si>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</si>
  <si>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</si>
  <si>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</si>
  <si>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</si>
  <si>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</si>
  <si>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</si>
  <si>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</si>
  <si>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</si>
  <si>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</si>
  <si>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</si>
  <si>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</si>
  <si>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</si>
  <si>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</si>
  <si>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</si>
  <si>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</si>
  <si>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</si>
  <si>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</si>
  <si>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</si>
  <si>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</si>
  <si>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</si>
  <si>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</si>
  <si>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</si>
  <si>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</si>
  <si>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</si>
  <si>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</si>
  <si>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</si>
  <si>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</si>
  <si>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</si>
  <si>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</si>
  <si>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</si>
  <si>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</si>
  <si>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</si>
  <si>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</si>
  <si>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</si>
  <si>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</si>
  <si>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</si>
  <si>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</si>
  <si>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</si>
  <si>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</si>
  <si>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</si>
  <si>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</si>
  <si>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</si>
  <si>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</si>
  <si>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</si>
  <si>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</si>
  <si>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</si>
  <si>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</si>
  <si>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</si>
  <si>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</si>
  <si>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</si>
  <si>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</si>
  <si>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</si>
  <si>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</si>
  <si>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</si>
  <si>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</si>
  <si>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</si>
  <si>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</si>
  <si>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</si>
  <si>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</si>
  <si>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</si>
  <si>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</si>
  <si>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</si>
  <si>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</si>
  <si>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</si>
  <si>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</si>
  <si>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</si>
  <si>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</si>
  <si>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</si>
  <si>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</si>
  <si>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</si>
  <si>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</si>
  <si>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</si>
  <si>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</si>
  <si>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</si>
  <si>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</si>
  <si>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</si>
  <si>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</si>
  <si>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</si>
  <si>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</si>
  <si>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</si>
  <si>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</si>
  <si>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</si>
  <si>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</si>
  <si>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</si>
  <si>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</si>
  <si>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</si>
  <si>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</si>
  <si>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</si>
  <si>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</si>
  <si>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</si>
  <si>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</si>
  <si>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</si>
  <si>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</si>
  <si>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</si>
  <si>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</si>
  <si>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</si>
  <si>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</si>
  <si>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</si>
  <si>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</si>
  <si>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</si>
  <si>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</si>
  <si>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</si>
  <si>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</si>
  <si>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</si>
  <si>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</si>
  <si>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</si>
  <si>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</si>
  <si>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</si>
  <si>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</si>
  <si>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</si>
  <si>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</si>
  <si>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</si>
  <si>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</si>
  <si>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</si>
  <si>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</si>
  <si>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</si>
  <si>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</si>
  <si>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</si>
  <si>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</si>
  <si>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</si>
  <si>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</si>
  <si>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</si>
  <si>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</si>
  <si>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</si>
  <si>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</si>
  <si>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</si>
  <si>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</si>
  <si>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</si>
  <si>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</si>
  <si>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</si>
  <si>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</si>
  <si>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</si>
  <si>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</si>
  <si>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</si>
  <si>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</si>
  <si>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</si>
  <si>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</si>
  <si>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</si>
  <si>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</si>
  <si>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</si>
  <si>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</si>
  <si>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</si>
  <si>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</si>
  <si>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</si>
  <si>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</si>
  <si>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</si>
  <si>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</si>
  <si>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</si>
  <si>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</si>
  <si>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</si>
  <si>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</si>
  <si>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</si>
  <si>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</si>
  <si>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</si>
  <si>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</si>
  <si>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</si>
  <si>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</si>
  <si>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</si>
  <si>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</si>
  <si>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</si>
  <si>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</si>
  <si>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</si>
  <si>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</si>
  <si>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</si>
  <si>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</si>
  <si>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</si>
  <si>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</si>
  <si>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</si>
  <si>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</si>
  <si>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</si>
  <si>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</si>
  <si>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</si>
  <si>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</si>
  <si>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</si>
  <si>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</si>
  <si>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</si>
  <si>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</si>
  <si>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</si>
  <si>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</si>
  <si>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</si>
  <si>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</si>
  <si>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</si>
  <si>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</si>
  <si>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</si>
  <si>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</si>
  <si>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</si>
  <si>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</si>
  <si>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</si>
  <si>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</si>
  <si>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</si>
  <si>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</si>
  <si>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</si>
  <si>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</si>
  <si>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</si>
  <si>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</si>
  <si>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</si>
  <si>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</si>
  <si>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</si>
  <si>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</si>
  <si>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</si>
  <si>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</si>
  <si>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</si>
  <si>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</si>
  <si>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</si>
  <si>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</si>
  <si>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</si>
  <si>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</si>
  <si>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</si>
  <si>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</si>
  <si>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</si>
  <si>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</si>
  <si>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</si>
  <si>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</si>
  <si>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</si>
  <si>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</si>
  <si>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</si>
  <si>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</si>
  <si>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</si>
  <si>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</si>
  <si>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</si>
  <si>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</si>
  <si>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</si>
  <si>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</si>
  <si>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</si>
  <si>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</si>
  <si>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</si>
  <si>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</si>
  <si>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</si>
  <si>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</si>
  <si>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</si>
  <si>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</si>
  <si>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</si>
  <si>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</si>
  <si>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</si>
  <si>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</si>
  <si>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</si>
  <si>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</si>
  <si>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</si>
  <si>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</si>
  <si>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</si>
  <si>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</si>
  <si>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</si>
  <si>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</si>
  <si>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</si>
  <si>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</si>
  <si>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</si>
  <si>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</si>
  <si>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</si>
  <si>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</si>
  <si>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</si>
  <si>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</si>
  <si>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</si>
  <si>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</si>
  <si>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</si>
  <si>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</si>
  <si>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</si>
  <si>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</si>
  <si>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</si>
  <si>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</si>
  <si>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</si>
  <si>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</si>
  <si>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</si>
  <si>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</si>
  <si>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</si>
  <si>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</si>
  <si>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</si>
  <si>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</si>
  <si>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</si>
  <si>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</si>
  <si>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</si>
  <si>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</si>
  <si>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</si>
  <si>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</si>
  <si>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</si>
  <si>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</si>
  <si>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</si>
  <si>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</si>
  <si>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</si>
  <si>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</si>
  <si>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</si>
  <si>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</si>
  <si>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</si>
  <si>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</si>
  <si>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</si>
  <si>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</si>
  <si>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</si>
  <si>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</si>
  <si>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</si>
  <si>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</si>
  <si>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</si>
  <si>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</si>
  <si>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</si>
  <si>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</si>
  <si>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</si>
  <si>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</si>
  <si>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</si>
  <si>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</si>
  <si>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</si>
  <si>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</si>
  <si>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</si>
  <si>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</si>
  <si>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</si>
  <si>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</si>
  <si>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</si>
  <si>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</si>
  <si>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</si>
  <si>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</si>
  <si>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</si>
  <si>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</si>
  <si>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</si>
  <si>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</si>
  <si>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</si>
  <si>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</si>
  <si>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</si>
  <si>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</si>
  <si>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</si>
  <si>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</si>
  <si>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</si>
  <si>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</si>
  <si>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</si>
  <si>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</si>
  <si>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</si>
  <si>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</si>
  <si>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</si>
  <si>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</si>
  <si>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</si>
  <si>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</si>
  <si>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</si>
  <si>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</si>
  <si>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</si>
  <si>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</si>
  <si>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</si>
  <si>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</si>
  <si>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</si>
  <si>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</si>
  <si>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</si>
  <si>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</si>
  <si>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</si>
  <si>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</si>
  <si>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</si>
  <si>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</si>
  <si>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</si>
  <si>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</si>
  <si>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</si>
  <si>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</si>
  <si>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</si>
  <si>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</si>
  <si>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</si>
  <si>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</si>
  <si>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</si>
  <si>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</si>
  <si>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</si>
  <si>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</si>
  <si>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</si>
  <si>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</si>
  <si>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</si>
  <si>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</si>
  <si>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</si>
  <si>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</si>
  <si>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</si>
  <si>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</si>
  <si>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</si>
  <si>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</si>
  <si>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</si>
  <si>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</si>
  <si>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</si>
  <si>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</si>
  <si>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</si>
  <si>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</si>
  <si>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</si>
  <si>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</si>
  <si>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</si>
  <si>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</si>
  <si>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</si>
  <si>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</si>
  <si>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</si>
  <si>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</si>
  <si>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</si>
  <si>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</si>
  <si>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</si>
  <si>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</si>
  <si>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</si>
  <si>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</si>
  <si>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</si>
  <si>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</si>
  <si>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</si>
  <si>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</si>
  <si>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</si>
  <si>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</si>
  <si>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</si>
  <si>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</si>
  <si>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</si>
  <si>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</si>
  <si>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</si>
  <si>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</si>
  <si>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</si>
  <si>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</si>
  <si>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</si>
  <si>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</si>
  <si>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</si>
  <si>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</si>
  <si>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</si>
  <si>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</si>
  <si>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</si>
  <si>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</si>
  <si>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</si>
  <si>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</si>
  <si>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</si>
  <si>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</si>
  <si>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</si>
  <si>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</si>
  <si>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</si>
  <si>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</si>
  <si>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</si>
  <si>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</si>
  <si>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</si>
  <si>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</si>
  <si>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</si>
  <si>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</si>
  <si>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</si>
  <si>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</si>
  <si>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</si>
  <si>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</si>
  <si>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</si>
  <si>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</si>
  <si>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</si>
  <si>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</si>
  <si>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</si>
  <si>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</si>
  <si>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</si>
  <si>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</si>
  <si>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</si>
  <si>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</si>
  <si>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</si>
  <si>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</si>
  <si>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</si>
  <si>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</si>
  <si>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</si>
  <si>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</si>
  <si>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</si>
  <si>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</si>
  <si>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</si>
  <si>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</si>
  <si>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</si>
  <si>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</si>
  <si>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</si>
  <si>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</si>
  <si>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</si>
  <si>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</si>
  <si>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</si>
  <si>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</si>
  <si>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</si>
  <si>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</si>
  <si>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</si>
  <si>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</si>
  <si>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</si>
  <si>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</si>
  <si>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</si>
  <si>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</si>
  <si>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</si>
  <si>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</si>
  <si>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</si>
  <si>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</si>
  <si>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</si>
  <si>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</si>
  <si>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</si>
  <si>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</si>
  <si>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</si>
  <si>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</si>
  <si>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</si>
  <si>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</si>
  <si>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</si>
  <si>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</si>
  <si>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</si>
  <si>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</si>
  <si>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</si>
  <si>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</si>
  <si>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</si>
  <si>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</si>
  <si>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</si>
  <si>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</si>
  <si>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</si>
  <si>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</si>
  <si>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</si>
  <si>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</si>
  <si>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</si>
  <si>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</si>
  <si>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</si>
  <si>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</si>
  <si>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</si>
  <si>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</si>
  <si>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</si>
  <si>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</si>
  <si>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</si>
  <si>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</si>
  <si>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</si>
  <si>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</si>
  <si>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</si>
  <si>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</si>
  <si>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</si>
  <si>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</si>
  <si>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</si>
  <si>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</si>
  <si>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</si>
  <si>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</si>
  <si>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</si>
  <si>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</si>
  <si>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</si>
  <si>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</si>
  <si>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</si>
  <si>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</si>
  <si>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</si>
  <si>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</si>
  <si>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</si>
  <si>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</si>
  <si>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</si>
  <si>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</si>
  <si>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</si>
  <si>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</si>
  <si>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</si>
  <si>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</si>
  <si>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</si>
  <si>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</si>
  <si>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</si>
  <si>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</si>
  <si>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</si>
  <si>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</si>
  <si>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</si>
  <si>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</si>
  <si>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</si>
  <si>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</si>
  <si>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</si>
  <si>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</si>
  <si>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</si>
  <si>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</si>
  <si>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</si>
  <si>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</si>
  <si>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</si>
  <si>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</si>
  <si>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</si>
  <si>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</si>
  <si>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</si>
  <si>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</si>
  <si>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</si>
  <si>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</si>
  <si>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</si>
  <si>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</si>
  <si>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</si>
  <si>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</si>
  <si>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</si>
  <si>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</si>
  <si>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</si>
  <si>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</si>
  <si>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</si>
  <si>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</si>
  <si>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</si>
  <si>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</si>
  <si>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</si>
  <si>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</si>
  <si>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</si>
  <si>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</si>
  <si>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</si>
  <si>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</si>
  <si>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</si>
  <si>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</si>
  <si>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</si>
  <si>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</si>
  <si>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</si>
  <si>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</si>
  <si>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</si>
  <si>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</si>
  <si>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</si>
  <si>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</si>
  <si>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</si>
  <si>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</si>
  <si>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</si>
  <si>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</si>
  <si>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</si>
  <si>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</si>
  <si>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</si>
  <si>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</si>
  <si>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</si>
  <si>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</si>
  <si>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</si>
  <si>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</si>
  <si>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</si>
  <si>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</si>
  <si>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</si>
  <si>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</si>
  <si>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</si>
  <si>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</si>
  <si>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</si>
  <si>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</si>
  <si>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</si>
  <si>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</si>
  <si>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</si>
  <si>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</si>
  <si>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</si>
  <si>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</si>
  <si>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</si>
  <si>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</si>
  <si>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</si>
  <si>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</si>
  <si>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</si>
  <si>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</si>
  <si>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</si>
  <si>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</si>
  <si>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</si>
  <si>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</si>
  <si>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</si>
  <si>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</si>
  <si>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</si>
  <si>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</si>
  <si>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</si>
  <si>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</si>
  <si>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</si>
  <si>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</si>
  <si>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</si>
  <si>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</si>
  <si>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</si>
  <si>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</si>
  <si>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</si>
  <si>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</si>
  <si>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</si>
  <si>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</si>
  <si>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</si>
  <si>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</si>
  <si>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</si>
  <si>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</si>
  <si>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</si>
  <si>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</si>
  <si>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</si>
  <si>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</si>
  <si>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</si>
  <si>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</si>
  <si>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</si>
  <si>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</si>
  <si>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</si>
  <si>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</si>
  <si>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</si>
  <si>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</si>
  <si>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</si>
  <si>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</si>
  <si>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</si>
  <si>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</si>
  <si>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</si>
  <si>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</si>
  <si>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</si>
  <si>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</si>
  <si>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</si>
  <si>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</si>
  <si>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</si>
  <si>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</si>
  <si>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</si>
  <si>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</si>
  <si>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</si>
  <si>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</si>
  <si>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</si>
  <si>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</si>
  <si>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</si>
  <si>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</si>
  <si>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</si>
  <si>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</si>
  <si>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</si>
  <si>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</si>
  <si>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</si>
  <si>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</si>
  <si>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</si>
  <si>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</si>
  <si>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</si>
  <si>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</si>
  <si>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</si>
  <si>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</si>
  <si>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</si>
  <si>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</si>
  <si>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</si>
  <si>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</si>
  <si>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</si>
  <si>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</si>
  <si>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</si>
  <si>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</si>
  <si>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</si>
  <si>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</si>
  <si>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</si>
  <si>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</si>
  <si>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</si>
  <si>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</si>
  <si>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</si>
  <si>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</si>
  <si>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</si>
  <si>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</si>
  <si>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</si>
  <si>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</si>
  <si>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</si>
  <si>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</si>
  <si>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</si>
  <si>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</si>
  <si>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</si>
  <si>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</si>
  <si>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</si>
  <si>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</si>
  <si>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</si>
  <si>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</si>
  <si>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</si>
  <si>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</si>
  <si>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</si>
  <si>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</si>
  <si>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</si>
  <si>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</si>
  <si>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</si>
  <si>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</si>
  <si>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</si>
  <si>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</si>
  <si>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</si>
  <si>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</si>
  <si>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</si>
  <si>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</si>
  <si>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</si>
  <si>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</si>
  <si>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</si>
  <si>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</si>
  <si>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</si>
  <si>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</si>
  <si>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</si>
  <si>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</si>
  <si>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</si>
  <si>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</si>
  <si>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</si>
  <si>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</si>
  <si>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</si>
  <si>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</si>
  <si>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</si>
  <si>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</si>
  <si>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</si>
  <si>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</si>
  <si>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</si>
  <si>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</si>
  <si>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</si>
  <si>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</si>
  <si>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</si>
  <si>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</si>
  <si>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</si>
  <si>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</si>
  <si>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</si>
  <si>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</si>
  <si>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</si>
  <si>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</si>
  <si>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</si>
  <si>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</si>
  <si>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</si>
  <si>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</si>
  <si>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</si>
  <si>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</si>
  <si>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</si>
  <si>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</si>
  <si>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</si>
  <si>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</si>
  <si>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</si>
  <si>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</si>
  <si>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</si>
  <si>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</si>
  <si>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</si>
  <si>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</si>
  <si>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</si>
  <si>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</si>
  <si>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</si>
  <si>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</si>
  <si>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</si>
  <si>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</si>
  <si>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</si>
  <si>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</si>
  <si>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</si>
  <si>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</si>
  <si>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</si>
  <si>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</si>
  <si>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</si>
  <si>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</si>
  <si>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</si>
  <si>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</si>
  <si>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</si>
  <si>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</si>
  <si>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</si>
  <si>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</si>
  <si>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</si>
  <si>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</si>
  <si>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</si>
  <si>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</si>
  <si>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</si>
  <si>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</si>
  <si>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</si>
  <si>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</si>
  <si>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</si>
  <si>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</si>
  <si>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</si>
  <si>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</si>
  <si>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</si>
  <si>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</si>
  <si>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</si>
  <si>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</si>
  <si>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</si>
  <si>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</si>
  <si>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</si>
  <si>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</si>
  <si>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</si>
  <si>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</si>
  <si>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</si>
  <si>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</si>
  <si>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</si>
  <si>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</si>
  <si>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</si>
  <si>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</si>
  <si>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</si>
  <si>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</si>
  <si>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</si>
  <si>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</si>
  <si>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</si>
  <si>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</si>
  <si>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</si>
  <si>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</si>
  <si>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</si>
  <si>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</si>
  <si>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</si>
  <si>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</si>
  <si>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</si>
  <si>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</si>
  <si>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</si>
  <si>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</si>
  <si>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</si>
  <si>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</si>
  <si>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</si>
  <si>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</si>
  <si>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</si>
  <si>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</si>
  <si>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</si>
  <si>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</si>
  <si>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</si>
  <si>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</si>
  <si>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</si>
  <si>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</si>
  <si>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</si>
  <si>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</si>
  <si>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</si>
  <si>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</si>
  <si>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</si>
  <si>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</si>
  <si>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</si>
  <si>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</si>
  <si>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</si>
  <si>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</si>
  <si>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</si>
  <si>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</si>
  <si>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</si>
  <si>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</si>
  <si>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</si>
  <si>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</si>
  <si>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</si>
  <si>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</si>
  <si>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</si>
  <si>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</si>
  <si>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</si>
  <si>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</si>
  <si>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</si>
  <si>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</si>
  <si>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</si>
  <si>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</si>
  <si>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</si>
  <si>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</si>
  <si>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</si>
  <si>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</si>
  <si>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</si>
  <si>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</si>
  <si>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</si>
  <si>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</si>
  <si>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</si>
  <si>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</si>
  <si>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</si>
  <si>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</si>
  <si>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</si>
  <si>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</si>
  <si>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</si>
  <si>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</si>
  <si>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</si>
  <si>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</si>
  <si>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</si>
  <si>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</si>
  <si>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</si>
  <si>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</si>
  <si>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</si>
  <si>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</si>
  <si>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</si>
  <si>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</si>
  <si>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</si>
  <si>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</si>
  <si>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</si>
  <si>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</si>
  <si>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</si>
  <si>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</si>
  <si>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</si>
  <si>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</si>
  <si>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</si>
  <si>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</si>
  <si>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</si>
  <si>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</si>
  <si>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</si>
  <si>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</si>
  <si>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</si>
  <si>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</si>
  <si>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</si>
  <si>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</si>
  <si>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</si>
  <si>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</si>
  <si>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</si>
  <si>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</si>
  <si>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</si>
  <si>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</si>
  <si>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</si>
  <si>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</si>
  <si>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</si>
  <si>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</si>
  <si>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</si>
  <si>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</si>
  <si>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</si>
  <si>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</si>
  <si>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</si>
  <si>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</si>
  <si>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</si>
  <si>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</si>
  <si>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</si>
  <si>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</si>
  <si>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</si>
  <si>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</si>
  <si>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</si>
  <si>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</si>
  <si>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</si>
  <si>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</si>
  <si>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</si>
  <si>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</si>
  <si>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</si>
  <si>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</si>
  <si>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</si>
  <si>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</si>
  <si>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</si>
  <si>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</si>
  <si>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</si>
  <si>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</si>
  <si>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</si>
  <si>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</si>
  <si>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</si>
  <si>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</si>
  <si>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</si>
  <si>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</si>
  <si>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</si>
  <si>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</si>
  <si>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</si>
  <si>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</si>
  <si>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</si>
  <si>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</si>
  <si>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</si>
  <si>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</si>
  <si>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</si>
  <si>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</si>
  <si>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</si>
  <si>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</si>
  <si>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</si>
  <si>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</si>
  <si>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</si>
  <si>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</si>
  <si>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</si>
  <si>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</si>
  <si>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</si>
  <si>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</si>
  <si>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</si>
  <si>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</si>
  <si>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</si>
  <si>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</si>
  <si>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</si>
  <si>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</si>
  <si>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</si>
  <si>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</si>
  <si>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</si>
  <si>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</si>
  <si>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</si>
  <si>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</si>
  <si>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</si>
  <si>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</si>
  <si>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</si>
  <si>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</si>
  <si>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</si>
  <si>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</si>
  <si>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</si>
  <si>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</si>
  <si>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</si>
  <si>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</si>
  <si>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</si>
  <si>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</si>
  <si>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</si>
  <si>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</si>
  <si>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</si>
  <si>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</si>
  <si>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</si>
  <si>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</si>
  <si>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</si>
  <si>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</si>
  <si>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</si>
  <si>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</si>
  <si>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</si>
  <si>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</si>
  <si>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</si>
  <si>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</si>
  <si>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</si>
  <si>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</si>
  <si>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</si>
  <si>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</si>
  <si>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</si>
  <si>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</si>
  <si>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</si>
  <si>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</si>
  <si>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</si>
  <si>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</si>
  <si>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</si>
  <si>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</si>
  <si>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</si>
  <si>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</si>
  <si>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</si>
  <si>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</si>
  <si>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</si>
  <si>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</si>
  <si>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</si>
  <si>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</si>
  <si>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</si>
  <si>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</si>
  <si>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</si>
  <si>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</si>
  <si>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</si>
  <si>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</si>
  <si>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</si>
  <si>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</si>
  <si>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</si>
  <si>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</si>
  <si>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</si>
  <si>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</si>
  <si>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</si>
  <si>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</si>
  <si>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</si>
  <si>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</si>
  <si>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</si>
  <si>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</si>
  <si>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</si>
  <si>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</si>
  <si>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</si>
  <si>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</si>
  <si>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</si>
  <si>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</si>
  <si>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</si>
  <si>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</si>
  <si>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</si>
  <si>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</si>
  <si>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</si>
  <si>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</si>
  <si>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</si>
  <si>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</si>
  <si>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</si>
  <si>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</si>
  <si>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</si>
  <si>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</si>
  <si>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</si>
  <si>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</si>
  <si>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</si>
  <si>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</si>
  <si>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</si>
  <si>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</si>
  <si>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</si>
  <si>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</si>
  <si>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</si>
  <si>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</si>
  <si>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</si>
  <si>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</si>
  <si>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</si>
  <si>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</si>
  <si>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</si>
  <si>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</si>
  <si>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</si>
  <si>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</si>
  <si>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</si>
  <si>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</si>
  <si>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</si>
  <si>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</si>
  <si>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</si>
  <si>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</si>
  <si>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</si>
  <si>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</si>
  <si>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</si>
  <si>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</si>
  <si>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</si>
  <si>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</si>
  <si>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</si>
  <si>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</si>
  <si>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</si>
  <si>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</si>
  <si>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</si>
  <si>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</si>
  <si>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</si>
  <si>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</si>
  <si>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</si>
  <si>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</si>
  <si>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</si>
  <si>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</si>
  <si>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</si>
  <si>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</si>
  <si>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</si>
  <si>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</si>
  <si>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</si>
  <si>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</si>
  <si>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</si>
  <si>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</si>
  <si>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</si>
  <si>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</si>
  <si>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</si>
  <si>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</si>
  <si>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</si>
  <si>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</si>
  <si>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</si>
  <si>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</si>
  <si>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</si>
  <si>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</si>
  <si>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</si>
  <si>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</si>
  <si>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</si>
  <si>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</si>
  <si>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</si>
  <si>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</si>
  <si>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</si>
  <si>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</si>
  <si>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</si>
  <si>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</si>
  <si>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</si>
  <si>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</si>
  <si>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</si>
  <si>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</si>
  <si>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</si>
  <si>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</si>
  <si>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</si>
  <si>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</si>
  <si>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</si>
  <si>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</si>
  <si>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</si>
  <si>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</si>
  <si>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</si>
  <si>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</si>
  <si>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</si>
  <si>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</si>
  <si>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</si>
  <si>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</si>
  <si>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</si>
  <si>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</si>
  <si>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</si>
  <si>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</si>
  <si>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</si>
  <si>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</si>
  <si>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</si>
  <si>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</si>
  <si>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</si>
  <si>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</si>
  <si>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</si>
  <si>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</si>
  <si>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</si>
  <si>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</si>
  <si>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</si>
  <si>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</si>
  <si>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</si>
  <si>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</si>
  <si>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</si>
  <si>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</si>
  <si>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</si>
  <si>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</si>
  <si>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</si>
  <si>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</si>
  <si>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</si>
  <si>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</si>
  <si>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</si>
  <si>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</si>
  <si>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</si>
  <si>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</si>
  <si>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</si>
  <si>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</si>
  <si>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</si>
  <si>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</si>
  <si>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</si>
  <si>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</si>
  <si>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</si>
  <si>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</si>
  <si>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</si>
  <si>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</si>
  <si>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</si>
  <si>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</si>
  <si>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</si>
  <si>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</si>
  <si>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</si>
  <si>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</si>
  <si>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</si>
  <si>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</si>
  <si>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</si>
  <si>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</si>
  <si>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</si>
  <si>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</si>
  <si>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</si>
  <si>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</si>
  <si>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</si>
  <si>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</si>
  <si>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</si>
  <si>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</si>
  <si>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</si>
  <si>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</si>
  <si>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</si>
  <si>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</si>
  <si>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</si>
  <si>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</si>
  <si>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</si>
  <si>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</si>
  <si>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</si>
  <si>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</si>
  <si>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</si>
  <si>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</si>
  <si>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</si>
  <si>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</si>
  <si>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</si>
  <si>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</si>
  <si>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</si>
  <si>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</si>
  <si>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</si>
  <si>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</si>
  <si>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</si>
  <si>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</si>
  <si>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</si>
  <si>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</si>
  <si>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</si>
  <si>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</si>
  <si>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</si>
  <si>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</si>
  <si>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</si>
  <si>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</si>
  <si>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</si>
  <si>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</si>
  <si>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</si>
  <si>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</si>
  <si>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</si>
  <si>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</si>
  <si>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</si>
  <si>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</si>
  <si>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</si>
  <si>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</si>
  <si>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</si>
  <si>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</si>
  <si>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</si>
  <si>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</si>
  <si>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</si>
  <si>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</si>
  <si>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</si>
  <si>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</si>
  <si>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</si>
  <si>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</si>
  <si>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</si>
  <si>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</si>
  <si>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</si>
  <si>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</si>
  <si>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</si>
  <si>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</si>
  <si>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</si>
  <si>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</si>
  <si>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</si>
  <si>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</si>
  <si>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</si>
  <si>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</si>
  <si>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</si>
  <si>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</si>
  <si>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</si>
  <si>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</si>
  <si>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</si>
  <si>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</si>
  <si>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</si>
  <si>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</si>
  <si>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</si>
  <si>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</si>
  <si>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</si>
  <si>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</si>
  <si>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</si>
  <si>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</si>
  <si>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</si>
  <si>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</si>
  <si>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</si>
  <si>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</si>
  <si>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</si>
  <si>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</si>
  <si>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</si>
  <si>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</si>
  <si>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</si>
  <si>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</si>
  <si>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</si>
  <si>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</si>
  <si>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</si>
  <si>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</si>
  <si>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</si>
  <si>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</si>
  <si>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</si>
  <si>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</si>
  <si>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</si>
  <si>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</si>
  <si>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</si>
  <si>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</si>
  <si>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</si>
  <si>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</si>
  <si>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</si>
  <si>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</si>
  <si>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</si>
  <si>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</si>
  <si>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</si>
  <si>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</si>
  <si>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</si>
  <si>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</si>
  <si>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</si>
  <si>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</si>
  <si>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</si>
  <si>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</si>
  <si>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</si>
  <si>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</si>
  <si>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</si>
  <si>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</si>
  <si>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</si>
  <si>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</si>
  <si>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</si>
  <si>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</si>
  <si>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</si>
  <si>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</si>
  <si>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</si>
  <si>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</si>
  <si>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</si>
  <si>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</si>
  <si>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</si>
  <si>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</si>
  <si>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</si>
  <si>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</si>
  <si>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</si>
  <si>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</si>
  <si>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</si>
  <si>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</si>
  <si>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</si>
  <si>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</si>
  <si>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</si>
  <si>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</si>
  <si>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</si>
  <si>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</si>
  <si>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</si>
  <si>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</si>
  <si>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</si>
  <si>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</si>
  <si>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</si>
  <si>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</si>
  <si>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</si>
  <si>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</si>
  <si>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</si>
  <si>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</si>
  <si>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</si>
  <si>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</si>
  <si>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</si>
  <si>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</si>
  <si>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</si>
  <si>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</si>
  <si>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</si>
  <si>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</si>
  <si>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</si>
  <si>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</si>
  <si>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</si>
  <si>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</si>
  <si>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</si>
  <si>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</si>
  <si>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</si>
  <si>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</si>
  <si>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</si>
  <si>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</si>
  <si>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</si>
  <si>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</si>
  <si>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</si>
  <si>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</si>
  <si>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</si>
  <si>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</si>
  <si>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</si>
  <si>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</si>
  <si>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</si>
  <si>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</si>
  <si>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</si>
  <si>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</si>
  <si>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</si>
  <si>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</si>
  <si>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</si>
  <si>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</si>
  <si>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</si>
  <si>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</si>
  <si>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</si>
  <si>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</si>
  <si>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</si>
  <si>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</si>
  <si>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</si>
  <si>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</si>
  <si>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</si>
  <si>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</si>
  <si>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</si>
  <si>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</si>
  <si>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</si>
  <si>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</si>
  <si>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</si>
  <si>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</si>
  <si>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</si>
  <si>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</si>
  <si>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</si>
  <si>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</si>
  <si>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</si>
  <si>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</si>
  <si>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</si>
  <si>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</si>
  <si>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</si>
  <si>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</si>
  <si>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</si>
  <si>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</si>
  <si>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</si>
  <si>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</si>
  <si>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</si>
  <si>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</si>
  <si>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</si>
  <si>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</si>
  <si>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</si>
  <si>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</si>
  <si>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</si>
  <si>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</si>
  <si>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</si>
  <si>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</si>
  <si>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</si>
  <si>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</si>
  <si>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</si>
  <si>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</si>
  <si>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</si>
  <si>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</si>
  <si>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</si>
  <si>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</si>
  <si>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</si>
  <si>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</si>
  <si>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</si>
  <si>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</si>
  <si>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</si>
  <si>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</si>
  <si>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</si>
  <si>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</si>
  <si>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</si>
  <si>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</si>
  <si>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</si>
  <si>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</si>
  <si>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</si>
  <si>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</si>
  <si>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</si>
  <si>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</si>
  <si>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</si>
  <si>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</si>
  <si>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</si>
  <si>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</si>
  <si>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</si>
  <si>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</si>
  <si>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</si>
  <si>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</si>
  <si>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</si>
  <si>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</si>
  <si>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</si>
  <si>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</si>
  <si>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</si>
  <si>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</si>
  <si>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</si>
  <si>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</si>
  <si>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</si>
  <si>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</si>
  <si>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</si>
  <si>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</si>
  <si>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</si>
  <si>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</si>
  <si>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</si>
  <si>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</si>
  <si>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</si>
  <si>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</si>
  <si>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</si>
  <si>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</si>
  <si>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</si>
  <si>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</si>
  <si>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</si>
  <si>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</si>
  <si>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</si>
  <si>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</si>
  <si>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</si>
  <si>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</si>
  <si>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</si>
  <si>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</si>
  <si>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</si>
  <si>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</si>
  <si>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</si>
  <si>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</si>
  <si>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</si>
  <si>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</si>
  <si>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</si>
  <si>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</si>
  <si>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</si>
  <si>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</si>
  <si>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</si>
  <si>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</si>
  <si>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</si>
  <si>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</si>
  <si>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</si>
  <si>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</si>
  <si>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</si>
  <si>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</si>
  <si>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</si>
  <si>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</si>
  <si>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</si>
  <si>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</si>
  <si>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</si>
  <si>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</si>
  <si>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</si>
  <si>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</si>
  <si>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</si>
  <si>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</si>
  <si>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</si>
  <si>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</si>
  <si>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</si>
  <si>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</si>
  <si>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</si>
  <si>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</si>
  <si>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</si>
  <si>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</si>
  <si>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</si>
  <si>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</si>
  <si>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</si>
  <si>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</si>
  <si>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</si>
  <si>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</si>
  <si>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</si>
  <si>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</si>
  <si>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</si>
  <si>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</si>
  <si>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</si>
  <si>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</si>
  <si>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</si>
  <si>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</si>
  <si>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</si>
  <si>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</si>
  <si>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</si>
  <si>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</si>
  <si>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</si>
  <si>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</si>
  <si>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</si>
  <si>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</si>
  <si>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</si>
  <si>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</si>
  <si>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</si>
  <si>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</si>
  <si>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</si>
  <si>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</si>
  <si>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</si>
  <si>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</si>
  <si>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</si>
  <si>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</si>
  <si>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</si>
  <si>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</si>
  <si>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</si>
  <si>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</si>
  <si>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</si>
  <si>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</si>
  <si>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</si>
  <si>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</si>
  <si>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</si>
  <si>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</si>
  <si>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</si>
  <si>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</si>
  <si>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</si>
  <si>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</si>
  <si>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</si>
  <si>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</si>
  <si>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</si>
  <si>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</si>
  <si>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</si>
  <si>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</si>
  <si>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</si>
  <si>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</si>
  <si>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</si>
  <si>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</si>
  <si>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</si>
  <si>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</si>
  <si>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</si>
  <si>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</si>
  <si>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</si>
  <si>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</si>
  <si>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</si>
  <si>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</si>
  <si>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</si>
  <si>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</si>
  <si>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</si>
  <si>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</si>
  <si>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</si>
  <si>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</si>
  <si>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</si>
  <si>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</si>
  <si>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</si>
  <si>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</si>
  <si>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</si>
  <si>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</si>
  <si>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</si>
  <si>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</si>
  <si>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</si>
  <si>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</si>
  <si>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</si>
  <si>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</si>
  <si>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</si>
  <si>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</si>
  <si>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</si>
  <si>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</si>
  <si>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</si>
  <si>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</si>
  <si>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</si>
  <si>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</si>
  <si>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</si>
  <si>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</si>
  <si>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</si>
  <si>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</si>
  <si>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</si>
  <si>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</si>
  <si>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</si>
  <si>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</si>
  <si>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</si>
  <si>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</si>
  <si>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</si>
  <si>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</si>
  <si>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</si>
  <si>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</si>
  <si>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</si>
  <si>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</si>
  <si>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</si>
  <si>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</si>
  <si>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</si>
  <si>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</si>
  <si>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</si>
  <si>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</si>
  <si>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</si>
  <si>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</si>
  <si>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</si>
  <si>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</si>
  <si>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</si>
  <si>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</si>
  <si>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</si>
  <si>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</si>
  <si>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</si>
  <si>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</si>
  <si>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</si>
  <si>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</si>
  <si>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</si>
  <si>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</si>
  <si>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</si>
  <si>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</si>
  <si>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</si>
  <si>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</si>
  <si>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</si>
  <si>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</si>
  <si>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</si>
  <si>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</si>
  <si>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</si>
  <si>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</si>
  <si>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</si>
  <si>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</si>
  <si>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</si>
  <si>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</si>
  <si>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</si>
  <si>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</si>
  <si>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</si>
  <si>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</si>
  <si>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</si>
  <si>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</si>
  <si>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</si>
  <si>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</si>
  <si>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</si>
  <si>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</si>
  <si>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</si>
  <si>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</si>
  <si>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</si>
  <si>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</si>
  <si>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</si>
  <si>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</si>
  <si>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</si>
  <si>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</si>
  <si>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</si>
  <si>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</si>
  <si>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</si>
  <si>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</si>
  <si>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</si>
  <si>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</si>
  <si>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</si>
  <si>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</si>
  <si>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</si>
  <si>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</si>
  <si>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</si>
  <si>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</si>
  <si>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</si>
  <si>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</si>
  <si>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</si>
  <si>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</si>
  <si>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</si>
  <si>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</si>
  <si>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</si>
  <si>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</si>
  <si>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</si>
  <si>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</si>
  <si>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</si>
  <si>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</si>
  <si>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</si>
  <si>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</si>
  <si>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</si>
  <si>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</si>
  <si>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</si>
  <si>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</si>
  <si>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</si>
  <si>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</si>
  <si>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</si>
  <si>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</si>
  <si>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</si>
  <si>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</si>
  <si>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</si>
  <si>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</si>
  <si>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</si>
  <si>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</si>
  <si>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</si>
  <si>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</si>
  <si>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</si>
  <si>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</si>
  <si>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</si>
  <si>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</si>
  <si>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</si>
  <si>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</si>
  <si>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</si>
  <si>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</si>
  <si>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</si>
  <si>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</si>
  <si>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</si>
  <si>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</si>
  <si>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</si>
  <si>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</si>
  <si>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</si>
  <si>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</si>
  <si>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</si>
  <si>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</si>
  <si>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</si>
  <si>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</si>
  <si>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</si>
  <si>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</si>
  <si>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</si>
  <si>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</si>
  <si>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</si>
  <si>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</si>
  <si>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</si>
  <si>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</si>
  <si>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</si>
  <si>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</si>
  <si>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</si>
  <si>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</si>
  <si>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</si>
  <si>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</si>
  <si>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</si>
  <si>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</si>
  <si>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</si>
  <si>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</si>
  <si>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</si>
  <si>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</si>
  <si>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</si>
  <si>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</si>
  <si>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</si>
  <si>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</si>
  <si>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</si>
  <si>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</si>
  <si>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</si>
  <si>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</si>
  <si>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</si>
  <si>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</si>
  <si>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</si>
  <si>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</si>
  <si>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</si>
  <si>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</si>
  <si>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</si>
  <si>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</si>
  <si>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</si>
  <si>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</si>
  <si>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</si>
  <si>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</si>
  <si>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</si>
  <si>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</si>
  <si>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</si>
  <si>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</si>
  <si>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</si>
  <si>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</si>
  <si>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</si>
  <si>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</si>
  <si>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</si>
  <si>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</si>
  <si>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</si>
  <si>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</si>
  <si>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</si>
  <si>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</si>
  <si>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</si>
  <si>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</si>
  <si>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</si>
  <si>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</si>
  <si>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</si>
  <si>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</si>
  <si>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</si>
  <si>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</si>
  <si>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</si>
  <si>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</si>
  <si>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</si>
  <si>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</si>
  <si>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</si>
  <si>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</si>
  <si>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</si>
  <si>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</si>
  <si>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</si>
  <si>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</si>
  <si>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</si>
  <si>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</si>
  <si>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</si>
  <si>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</si>
  <si>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</si>
  <si>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</si>
  <si>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</si>
  <si>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</si>
  <si>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</si>
  <si>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</si>
  <si>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</si>
  <si>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</si>
  <si>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</si>
  <si>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</si>
  <si>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</si>
  <si>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</si>
  <si>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</si>
  <si>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</si>
  <si>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</si>
  <si>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</si>
  <si>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</si>
  <si>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</si>
  <si>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</si>
  <si>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</si>
  <si>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</si>
  <si>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</si>
  <si>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</si>
  <si>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</si>
  <si>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</si>
  <si>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</si>
  <si>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</si>
  <si>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</si>
  <si>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</si>
  <si>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</si>
  <si>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</si>
  <si>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</si>
  <si>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</si>
  <si>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</si>
  <si>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</si>
  <si>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</si>
  <si>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</si>
  <si>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</si>
  <si>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</si>
  <si>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</si>
  <si>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</si>
  <si>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</si>
  <si>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</si>
  <si>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</si>
  <si>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</si>
  <si>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</si>
  <si>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</si>
  <si>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</si>
  <si>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</si>
  <si>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</si>
  <si>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</si>
  <si>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</si>
  <si>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</si>
  <si>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</si>
  <si>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</si>
  <si>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</si>
  <si>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</si>
  <si>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</si>
  <si>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</si>
  <si>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</si>
  <si>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</si>
  <si>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</si>
  <si>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</si>
  <si>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</si>
  <si>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</si>
  <si>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</si>
  <si>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</si>
  <si>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</si>
  <si>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</si>
  <si>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</si>
  <si>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</si>
  <si>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</si>
  <si>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</si>
  <si>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</si>
  <si>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</si>
  <si>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</si>
  <si>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</si>
  <si>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</si>
  <si>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</si>
  <si>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</si>
  <si>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</si>
  <si>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</si>
  <si>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</si>
  <si>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</si>
  <si>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</si>
  <si>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</si>
  <si>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</si>
  <si>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</si>
  <si>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</si>
  <si>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</si>
  <si>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</si>
  <si>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</si>
  <si>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</si>
  <si>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</si>
  <si>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</si>
  <si>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</si>
  <si>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</si>
  <si>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</si>
  <si>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</si>
  <si>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</si>
  <si>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</si>
  <si>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</si>
  <si>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</si>
  <si>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</si>
  <si>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</si>
  <si>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</si>
  <si>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</si>
  <si>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</si>
  <si>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</si>
  <si>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</si>
  <si>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</si>
  <si>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</si>
  <si>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</si>
  <si>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</si>
  <si>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</si>
  <si>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</si>
  <si>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</si>
  <si>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</si>
  <si>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</si>
  <si>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</si>
  <si>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</si>
  <si>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</si>
  <si>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</si>
  <si>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</si>
  <si>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</si>
  <si>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</si>
  <si>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</si>
  <si>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</si>
  <si>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</si>
  <si>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</si>
  <si>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</si>
  <si>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</si>
  <si>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</si>
  <si>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</si>
  <si>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</si>
  <si>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</si>
  <si>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</si>
  <si>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</si>
  <si>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</si>
  <si>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</si>
  <si>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</si>
  <si>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</si>
  <si>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</si>
  <si>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</si>
  <si>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</si>
  <si>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</si>
  <si>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</si>
  <si>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</si>
  <si>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</si>
  <si>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</si>
  <si>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</si>
  <si>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</si>
  <si>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</si>
  <si>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</si>
  <si>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</si>
  <si>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</si>
  <si>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</si>
  <si>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</si>
  <si>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</si>
  <si>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</si>
  <si>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</si>
  <si>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</si>
  <si>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</si>
  <si>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</si>
  <si>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</si>
  <si>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</si>
  <si>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</si>
  <si>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</si>
  <si>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</si>
  <si>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</si>
  <si>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</si>
  <si>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</si>
  <si>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</si>
  <si>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</si>
  <si>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</si>
  <si>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</si>
  <si>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</si>
  <si>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</si>
  <si>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</si>
  <si>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</si>
  <si>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</si>
  <si>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</si>
  <si>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</si>
  <si>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</si>
  <si>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</si>
  <si>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</si>
  <si>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</si>
  <si>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</si>
  <si>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</si>
  <si>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</si>
  <si>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</si>
  <si>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</si>
  <si>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</si>
  <si>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</si>
  <si>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</si>
  <si>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</si>
  <si>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</si>
  <si>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</si>
  <si>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</si>
  <si>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</si>
  <si>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</si>
  <si>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</si>
  <si>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</si>
  <si>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</si>
  <si>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</si>
  <si>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</si>
  <si>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</si>
  <si>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</si>
  <si>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</si>
  <si>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</si>
  <si>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</si>
  <si>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</si>
  <si>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</si>
  <si>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</si>
  <si>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</si>
  <si>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</si>
  <si>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</si>
  <si>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</si>
  <si>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</si>
  <si>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</si>
  <si>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</si>
  <si>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</si>
  <si>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</si>
  <si>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</si>
  <si>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</si>
  <si>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</si>
  <si>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</si>
  <si>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</si>
  <si>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</si>
  <si>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</si>
  <si>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</si>
  <si>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</si>
  <si>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</si>
  <si>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</si>
  <si>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</si>
  <si>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</si>
  <si>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</si>
  <si>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</si>
  <si>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</si>
  <si>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</si>
  <si>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</si>
  <si>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</si>
  <si>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</si>
  <si>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</si>
  <si>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</si>
  <si>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</si>
  <si>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</si>
  <si>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</si>
  <si>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</si>
  <si>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</si>
  <si>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</si>
  <si>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</si>
  <si>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</si>
  <si>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</si>
  <si>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</si>
  <si>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</si>
  <si>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</si>
  <si>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</si>
  <si>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</si>
  <si>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</si>
  <si>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</si>
  <si>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</si>
  <si>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</si>
  <si>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</si>
  <si>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</si>
  <si>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</si>
  <si>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</si>
  <si>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</si>
  <si>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</si>
  <si>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</si>
  <si>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</si>
  <si>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</si>
  <si>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</si>
  <si>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</si>
  <si>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</si>
  <si>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</si>
  <si>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</si>
  <si>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</si>
  <si>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</si>
  <si>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</si>
  <si>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</si>
  <si>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</si>
  <si>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</si>
  <si>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</si>
  <si>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</si>
  <si>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</si>
  <si>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</si>
  <si>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</si>
  <si>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</si>
  <si>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</si>
  <si>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</si>
  <si>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</si>
  <si>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</si>
  <si>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</si>
  <si>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</si>
  <si>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</si>
  <si>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</si>
  <si>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</si>
  <si>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</si>
  <si>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</si>
  <si>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</si>
  <si>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</si>
  <si>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</si>
  <si>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</si>
  <si>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</si>
  <si>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</si>
  <si>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</si>
  <si>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</si>
  <si>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</si>
  <si>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</si>
  <si>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</si>
  <si>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</si>
  <si>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</si>
  <si>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</si>
  <si>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</si>
  <si>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</si>
  <si>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</si>
  <si>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</si>
  <si>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</si>
  <si>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</si>
  <si>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</si>
  <si>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</si>
  <si>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</si>
  <si>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</si>
  <si>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</si>
  <si>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</si>
  <si>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</si>
  <si>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</si>
  <si>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</si>
  <si>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</si>
  <si>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</si>
  <si>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</si>
  <si>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</si>
  <si>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</si>
  <si>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</si>
  <si>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</si>
  <si>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</si>
  <si>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</si>
  <si>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</si>
  <si>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</si>
  <si>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</si>
  <si>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</si>
  <si>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</si>
  <si>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</si>
  <si>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</si>
  <si>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</si>
  <si>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</si>
  <si>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</si>
  <si>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</si>
  <si>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</si>
  <si>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</si>
  <si>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</si>
  <si>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</si>
  <si>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</si>
  <si>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</si>
  <si>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</si>
  <si>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</si>
  <si>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</si>
  <si>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</si>
  <si>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</si>
  <si>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</si>
  <si>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</si>
  <si>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</si>
  <si>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</si>
  <si>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</si>
  <si>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</si>
  <si>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</si>
  <si>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</si>
  <si>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</si>
  <si>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</si>
  <si>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</si>
  <si>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</si>
  <si>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</si>
  <si>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</si>
  <si>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</si>
  <si>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</si>
  <si>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</si>
  <si>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</si>
  <si>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</si>
  <si>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</si>
  <si>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</si>
  <si>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</si>
  <si>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</si>
  <si>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</si>
  <si>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</si>
  <si>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</si>
  <si>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</si>
  <si>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</si>
  <si>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</si>
  <si>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</si>
  <si>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</si>
  <si>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</si>
  <si>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</si>
  <si>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</si>
  <si>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</si>
  <si>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</si>
  <si>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</si>
  <si>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</si>
  <si>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</si>
  <si>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</si>
  <si>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</si>
  <si>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</si>
  <si>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</si>
  <si>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</si>
  <si>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</si>
  <si>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</si>
  <si>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</si>
  <si>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</si>
  <si>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</si>
  <si>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</si>
  <si>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</si>
  <si>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</si>
  <si>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</si>
  <si>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</si>
  <si>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</si>
  <si>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</si>
  <si>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</si>
  <si>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</si>
  <si>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</si>
  <si>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</si>
  <si>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</si>
  <si>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</si>
  <si>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</si>
  <si>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</si>
  <si>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</si>
  <si>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</si>
  <si>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</si>
  <si>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</si>
  <si>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</si>
  <si>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</si>
  <si>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</si>
  <si>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</si>
  <si>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</si>
  <si>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</si>
  <si>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</si>
  <si>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</si>
  <si>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</si>
  <si>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</si>
  <si>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</si>
  <si>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</si>
  <si>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</si>
  <si>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</si>
  <si>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</si>
  <si>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</si>
  <si>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</si>
  <si>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</si>
  <si>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</si>
  <si>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</si>
  <si>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</si>
  <si>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</si>
  <si>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</si>
  <si>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</si>
  <si>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</si>
  <si>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</si>
  <si>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</si>
  <si>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</si>
  <si>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</si>
  <si>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</si>
  <si>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</si>
  <si>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</si>
  <si>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</si>
  <si>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</si>
  <si>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</si>
  <si>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</si>
  <si>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</si>
  <si>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</si>
  <si>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</si>
  <si>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</si>
  <si>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</si>
  <si>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</si>
  <si>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</si>
  <si>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</si>
  <si>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</si>
  <si>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</si>
  <si>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</si>
  <si>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</si>
  <si>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</si>
  <si>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</si>
  <si>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</si>
  <si>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</si>
  <si>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</si>
  <si>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</si>
  <si>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</si>
  <si>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</si>
  <si>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</si>
  <si>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</si>
  <si>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</si>
  <si>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</si>
  <si>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</si>
  <si>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</si>
  <si>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</si>
  <si>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</si>
  <si>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</si>
  <si>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</si>
  <si>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</si>
  <si>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</si>
  <si>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</si>
  <si>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</si>
  <si>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</si>
  <si>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</si>
  <si>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</si>
  <si>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</si>
  <si>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</si>
  <si>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</si>
  <si>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</si>
  <si>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</si>
  <si>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</si>
  <si>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</si>
  <si>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</si>
  <si>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</si>
  <si>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</si>
  <si>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</si>
  <si>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</si>
  <si>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</si>
  <si>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</si>
  <si>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</si>
  <si>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</si>
  <si>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</si>
  <si>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</si>
  <si>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</si>
  <si>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</si>
  <si>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</si>
  <si>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</si>
  <si>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</si>
  <si>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</si>
  <si>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</si>
  <si>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</si>
  <si>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</si>
  <si>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</si>
  <si>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</si>
  <si>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</si>
  <si>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</si>
  <si>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</si>
  <si>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</si>
  <si>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</si>
  <si>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</si>
  <si>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</si>
  <si>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</si>
  <si>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</si>
  <si>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</si>
  <si>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</si>
  <si>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</si>
  <si>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</si>
  <si>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</si>
  <si>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</si>
  <si>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</si>
  <si>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</si>
  <si>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</si>
  <si>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</si>
  <si>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</si>
  <si>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</si>
  <si>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</si>
  <si>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</si>
  <si>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</si>
  <si>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</si>
  <si>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</si>
  <si>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</si>
  <si>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</si>
  <si>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</si>
  <si>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</si>
  <si>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</si>
  <si>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</si>
  <si>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</si>
  <si>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</si>
  <si>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</si>
  <si>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</si>
  <si>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</si>
  <si>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</si>
  <si>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</si>
  <si>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</si>
  <si>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</si>
  <si>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</si>
  <si>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</si>
  <si>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</si>
  <si>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</si>
  <si>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</si>
  <si>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</si>
  <si>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</si>
  <si>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</si>
  <si>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</si>
  <si>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</si>
  <si>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</si>
  <si>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</si>
  <si>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</si>
  <si>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</si>
  <si>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</si>
  <si>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</si>
  <si>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</si>
  <si>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</si>
  <si>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</si>
  <si>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</si>
  <si>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</si>
  <si>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</si>
  <si>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</si>
  <si>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</si>
  <si>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</si>
  <si>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</si>
  <si>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</si>
  <si>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</si>
  <si>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</si>
  <si>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</si>
  <si>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</si>
  <si>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</si>
  <si>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</si>
  <si>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</si>
  <si>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</si>
  <si>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</si>
  <si>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</si>
  <si>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</si>
  <si>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</si>
  <si>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</si>
  <si>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</si>
  <si>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</si>
  <si>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</si>
  <si>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</si>
  <si>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</si>
  <si>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</si>
  <si>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</si>
  <si>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</si>
  <si>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</si>
  <si>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</si>
  <si>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</si>
  <si>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</si>
  <si>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</si>
  <si>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</si>
  <si>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</si>
  <si>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</si>
  <si>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</si>
  <si>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</si>
  <si>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</si>
  <si>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</si>
  <si>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</si>
  <si>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</si>
  <si>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</si>
  <si>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</si>
  <si>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</si>
  <si>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</si>
  <si>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</si>
  <si>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</si>
  <si>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</si>
  <si>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</si>
  <si>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</si>
  <si>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</si>
  <si>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</si>
  <si>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</si>
  <si>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</si>
  <si>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</si>
  <si>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</si>
  <si>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</si>
  <si>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</si>
  <si>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</si>
  <si>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</si>
  <si>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</si>
  <si>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</si>
  <si>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</si>
  <si>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</si>
  <si>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</si>
  <si>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</si>
  <si>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</si>
  <si>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</si>
  <si>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</si>
  <si>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</si>
  <si>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</si>
  <si>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</si>
  <si>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</si>
  <si>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</si>
  <si>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</si>
  <si>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</si>
  <si>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</si>
  <si>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</si>
  <si>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</si>
  <si>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</si>
  <si>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</si>
  <si>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</si>
  <si>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</si>
  <si>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</si>
  <si>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</si>
  <si>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</si>
  <si>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</si>
  <si>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</si>
  <si>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</si>
  <si>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</si>
  <si>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</si>
  <si>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</si>
  <si>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</si>
  <si>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</si>
  <si>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</si>
  <si>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</si>
  <si>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</si>
  <si>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</si>
  <si>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</si>
  <si>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</si>
  <si>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</si>
  <si>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</si>
  <si>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</si>
  <si>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</si>
  <si>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</si>
  <si>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</si>
  <si>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</si>
  <si>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</si>
  <si>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</si>
  <si>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</si>
  <si>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</si>
  <si>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</si>
  <si>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</si>
  <si>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</si>
  <si>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</si>
  <si>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</si>
  <si>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</si>
  <si>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</si>
  <si>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</si>
  <si>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</si>
  <si>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</si>
  <si>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</si>
  <si>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</si>
  <si>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</si>
  <si>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</si>
  <si>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</si>
  <si>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</si>
  <si>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</si>
  <si>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</si>
  <si>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</si>
  <si>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</si>
  <si>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</si>
  <si>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</si>
  <si>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</si>
  <si>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</si>
  <si>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</si>
  <si>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</si>
  <si>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</si>
  <si>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</si>
  <si>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</si>
  <si>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</si>
  <si>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</si>
  <si>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</si>
  <si>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</si>
  <si>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</si>
  <si>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</si>
  <si>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</si>
  <si>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</si>
  <si>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</si>
  <si>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</si>
  <si>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</si>
  <si>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</si>
  <si>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</si>
  <si>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</si>
  <si>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</si>
  <si>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</si>
  <si>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</si>
  <si>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</si>
  <si>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</si>
  <si>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</si>
  <si>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</si>
  <si>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</si>
  <si>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</si>
  <si>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</si>
  <si>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</si>
  <si>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</si>
  <si>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</si>
  <si>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</si>
  <si>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</si>
  <si>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</si>
  <si>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</si>
  <si>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</si>
  <si>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</si>
  <si>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</si>
  <si>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</si>
  <si>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</si>
  <si>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</si>
  <si>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</si>
  <si>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</si>
  <si>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</si>
  <si>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</si>
  <si>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</si>
  <si>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</si>
  <si>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</si>
  <si>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</si>
  <si>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</si>
  <si>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</si>
  <si>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</si>
  <si>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</si>
  <si>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</si>
  <si>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</si>
  <si>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</si>
  <si>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</si>
  <si>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</si>
  <si>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</si>
  <si>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</si>
  <si>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</si>
  <si>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</si>
  <si>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</si>
  <si>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</si>
  <si>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</si>
  <si>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</si>
  <si>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</si>
  <si>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</si>
  <si>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</si>
  <si>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</si>
  <si>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</si>
  <si>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</si>
  <si>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</si>
  <si>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</si>
  <si>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</si>
  <si>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</si>
  <si>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</si>
  <si>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</si>
  <si>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</si>
  <si>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</si>
  <si>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</si>
  <si>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</si>
  <si>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</si>
  <si>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</si>
  <si>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</si>
  <si>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</si>
  <si>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</si>
  <si>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</si>
  <si>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</si>
  <si>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</si>
  <si>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</si>
  <si>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</si>
  <si>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</si>
  <si>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</si>
  <si>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</si>
  <si>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</si>
  <si>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</si>
  <si>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</si>
  <si>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</si>
  <si>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</si>
  <si>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</si>
  <si>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</si>
  <si>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</si>
  <si>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</si>
  <si>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</si>
  <si>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</si>
  <si>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</si>
  <si>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</si>
  <si>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</si>
  <si>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</si>
  <si>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</si>
  <si>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</si>
  <si>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</si>
  <si>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</si>
  <si>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</si>
  <si>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</si>
  <si>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</si>
  <si>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</si>
  <si>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</si>
  <si>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</si>
  <si>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</si>
  <si>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</si>
  <si>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</si>
  <si>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</si>
  <si>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</si>
  <si>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</si>
  <si>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</si>
  <si>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</si>
  <si>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</si>
  <si>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</si>
  <si>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</si>
  <si>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</si>
  <si>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</si>
  <si>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</si>
  <si>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</si>
  <si>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</si>
  <si>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</si>
  <si>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</si>
  <si>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</si>
  <si>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</si>
  <si>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</si>
  <si>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</si>
  <si>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</si>
  <si>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</si>
  <si>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</si>
  <si>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</si>
  <si>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</si>
  <si>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</si>
  <si>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</si>
  <si>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</si>
  <si>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</si>
  <si>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</si>
  <si>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</si>
  <si>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</si>
  <si>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</si>
  <si>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</si>
  <si>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</si>
  <si>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</si>
  <si>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</si>
  <si>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</si>
  <si>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</si>
  <si>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</si>
  <si>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</si>
  <si>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</si>
  <si>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</si>
  <si>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</si>
  <si>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</si>
  <si>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</si>
  <si>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</si>
  <si>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</si>
  <si>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</si>
  <si>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</si>
  <si>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</si>
  <si>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</si>
  <si>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</si>
  <si>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</si>
  <si>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</si>
  <si>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</si>
  <si>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</si>
  <si>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</si>
  <si>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</si>
  <si>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</si>
  <si>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</si>
  <si>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</si>
  <si>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</si>
  <si>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</si>
  <si>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</si>
  <si>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</si>
  <si>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</si>
  <si>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</si>
  <si>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</si>
  <si>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</si>
  <si>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</si>
  <si>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</si>
  <si>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</si>
  <si>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</si>
  <si>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</si>
  <si>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</si>
  <si>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</si>
  <si>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</si>
  <si>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</si>
  <si>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</si>
  <si>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</si>
  <si>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</si>
  <si>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</si>
  <si>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</si>
  <si>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</si>
  <si>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</si>
  <si>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</si>
  <si>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</si>
  <si>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</si>
  <si>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</si>
  <si>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</si>
  <si>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</si>
  <si>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</si>
  <si>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</si>
  <si>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</si>
  <si>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</si>
  <si>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</si>
  <si>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</si>
  <si>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</si>
  <si>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</si>
  <si>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</si>
  <si>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</si>
  <si>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</si>
  <si>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</si>
  <si>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</si>
  <si>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</si>
  <si>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</si>
  <si>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</si>
  <si>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</si>
  <si>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</si>
  <si>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</si>
  <si>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</si>
  <si>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</si>
  <si>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</si>
  <si>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</si>
  <si>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</si>
  <si>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</si>
  <si>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</si>
  <si>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</si>
  <si>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</si>
  <si>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</si>
  <si>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</si>
  <si>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</si>
  <si>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</si>
  <si>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</si>
  <si>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</si>
  <si>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</si>
  <si>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</si>
  <si>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</si>
  <si>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</si>
  <si>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</si>
  <si>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</si>
  <si>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</si>
  <si>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</si>
  <si>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</si>
  <si>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</si>
  <si>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</si>
  <si>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</si>
  <si>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</si>
  <si>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</si>
  <si>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</si>
  <si>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</si>
  <si>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</si>
  <si>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</si>
  <si>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</si>
  <si>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</si>
  <si>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</si>
  <si>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</si>
  <si>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</si>
  <si>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</si>
  <si>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</si>
  <si>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</si>
  <si>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</si>
  <si>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</si>
  <si>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</si>
  <si>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</si>
  <si>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</si>
  <si>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</si>
  <si>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</si>
  <si>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</si>
  <si>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</si>
  <si>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</si>
  <si>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</si>
  <si>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</si>
  <si>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</si>
  <si>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</si>
  <si>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</si>
  <si>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</si>
  <si>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</si>
  <si>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</si>
  <si>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</si>
  <si>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</si>
  <si>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</si>
  <si>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</si>
  <si>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</si>
  <si>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</si>
  <si>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</si>
  <si>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</si>
  <si>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</si>
  <si>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</si>
  <si>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</si>
  <si>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</si>
  <si>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</si>
  <si>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</si>
  <si>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</si>
  <si>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</si>
  <si>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</si>
  <si>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</si>
  <si>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</si>
  <si>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</si>
  <si>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</si>
  <si>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</si>
  <si>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</si>
  <si>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</si>
  <si>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</si>
  <si>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</si>
  <si>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</si>
  <si>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</si>
  <si>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</si>
  <si>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</si>
  <si>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</si>
  <si>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</si>
  <si>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</si>
  <si>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</si>
  <si>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</si>
  <si>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</si>
  <si>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</si>
  <si>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</si>
  <si>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</si>
  <si>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</si>
  <si>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</si>
  <si>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</si>
  <si>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</si>
  <si>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</si>
  <si>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</si>
  <si>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</si>
  <si>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</si>
  <si>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</si>
  <si>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</si>
  <si>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</si>
  <si>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</si>
  <si>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</si>
  <si>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</si>
  <si>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</si>
  <si>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</si>
  <si>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</si>
  <si>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</si>
  <si>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</si>
  <si>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</si>
  <si>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</si>
  <si>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</si>
  <si>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</si>
  <si>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</si>
  <si>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</si>
  <si>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</si>
  <si>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</si>
  <si>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</si>
  <si>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</si>
  <si>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</si>
  <si>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</si>
  <si>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</si>
  <si>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</si>
  <si>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</si>
  <si>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</si>
  <si>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</si>
  <si>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</si>
  <si>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</si>
  <si>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</si>
  <si>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</si>
  <si>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</si>
  <si>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</si>
  <si>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</si>
  <si>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</si>
  <si>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</si>
  <si>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</si>
  <si>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</si>
  <si>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</si>
  <si>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</si>
  <si>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</si>
  <si>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</si>
  <si>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</si>
  <si>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</si>
  <si>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</si>
  <si>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</si>
  <si>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</si>
  <si>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</si>
  <si>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</si>
  <si>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</si>
  <si>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</si>
  <si>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</si>
  <si>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</si>
  <si>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</si>
  <si>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</si>
  <si>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</si>
  <si>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</si>
  <si>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</si>
  <si>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</si>
  <si>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</si>
  <si>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</si>
  <si>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</si>
  <si>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</si>
  <si>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</si>
  <si>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</si>
  <si>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</si>
  <si>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</si>
  <si>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</si>
  <si>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</si>
  <si>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</si>
  <si>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</si>
  <si>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</si>
  <si>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</si>
  <si>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</si>
  <si>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</si>
  <si>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</si>
  <si>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</si>
  <si>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</si>
  <si>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</si>
  <si>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</si>
  <si>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</si>
  <si>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</si>
  <si>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</si>
  <si>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</si>
  <si>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</si>
  <si>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</si>
  <si>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</si>
  <si>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</si>
  <si>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</si>
  <si>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</si>
  <si>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</si>
  <si>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</si>
  <si>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</si>
  <si>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</si>
  <si>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</si>
  <si>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</si>
  <si>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</si>
  <si>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</si>
  <si>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</si>
  <si>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</si>
  <si>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</si>
  <si>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</si>
  <si>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</si>
  <si>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</si>
  <si>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</si>
  <si>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</si>
  <si>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</si>
  <si>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</si>
  <si>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</si>
  <si>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</si>
  <si>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</si>
  <si>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</si>
  <si>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</si>
  <si>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</si>
  <si>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</si>
  <si>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</si>
  <si>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</si>
  <si>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</si>
  <si>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</si>
  <si>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</si>
  <si>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</si>
  <si>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</si>
  <si>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</si>
  <si>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</si>
  <si>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</si>
  <si>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</si>
  <si>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</si>
  <si>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</si>
  <si>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</si>
  <si>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</si>
  <si>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</si>
  <si>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</si>
  <si>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</si>
  <si>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</si>
  <si>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</si>
  <si>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</si>
  <si>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</si>
  <si>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</si>
  <si>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</si>
  <si>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</si>
  <si>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</si>
  <si>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</si>
  <si>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</si>
  <si>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</si>
  <si>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</si>
  <si>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</si>
  <si>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</si>
  <si>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</si>
  <si>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</si>
  <si>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</si>
  <si>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</si>
  <si>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</si>
  <si>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</si>
  <si>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</si>
  <si>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</si>
  <si>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</si>
  <si>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</si>
  <si>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</si>
  <si>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</si>
  <si>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</si>
  <si>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</si>
  <si>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</si>
  <si>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</si>
  <si>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</si>
  <si>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</si>
  <si>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</si>
  <si>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</si>
  <si>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</si>
  <si>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</si>
  <si>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</si>
  <si>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</si>
  <si>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</si>
  <si>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</si>
  <si>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</si>
  <si>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</si>
  <si>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</si>
  <si>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</si>
  <si>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</si>
  <si>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</si>
  <si>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</si>
  <si>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</si>
  <si>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</si>
  <si>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</si>
  <si>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</si>
  <si>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</si>
  <si>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</si>
  <si>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</si>
  <si>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</si>
  <si>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</si>
  <si>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</si>
  <si>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</si>
  <si>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</si>
  <si>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</si>
  <si>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</si>
  <si>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</si>
  <si>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</si>
  <si>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</si>
  <si>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</si>
  <si>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</si>
  <si>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</si>
  <si>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</si>
  <si>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</si>
  <si>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</si>
  <si>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</si>
  <si>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</si>
  <si>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</si>
  <si>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</si>
  <si>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</si>
  <si>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</si>
  <si>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</si>
  <si>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</si>
  <si>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</si>
  <si>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</si>
  <si>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</si>
  <si>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</si>
  <si>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</si>
  <si>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</si>
  <si>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</si>
  <si>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</si>
  <si>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</si>
  <si>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</si>
  <si>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</si>
  <si>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</si>
  <si>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</si>
  <si>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</si>
  <si>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</si>
  <si>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</si>
  <si>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</si>
  <si>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</si>
  <si>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</si>
  <si>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</si>
  <si>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</si>
  <si>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</si>
  <si>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</si>
  <si>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</si>
  <si>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</si>
  <si>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</si>
  <si>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</si>
  <si>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</si>
  <si>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</si>
  <si>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</si>
  <si>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</si>
  <si>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</si>
  <si>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</si>
  <si>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</si>
  <si>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</si>
  <si>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</si>
  <si>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</si>
  <si>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</si>
  <si>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</si>
  <si>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</si>
  <si>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</si>
  <si>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</si>
  <si>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</si>
  <si>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</si>
  <si>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</si>
  <si>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</si>
  <si>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</si>
  <si>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</si>
  <si>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</si>
  <si>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</si>
  <si>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</si>
  <si>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</si>
  <si>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</si>
  <si>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</si>
  <si>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</si>
  <si>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</si>
  <si>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</si>
  <si>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</si>
  <si>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</si>
  <si>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</si>
  <si>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</si>
  <si>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</si>
  <si>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</si>
  <si>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</si>
  <si>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</si>
  <si>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</si>
  <si>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</si>
  <si>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</si>
  <si>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</si>
  <si>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</si>
  <si>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</si>
  <si>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</si>
  <si>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</si>
  <si>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</si>
  <si>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</si>
  <si>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</si>
  <si>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</si>
  <si>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</si>
  <si>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</si>
  <si>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</si>
  <si>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</si>
  <si>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</si>
  <si>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</si>
  <si>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</si>
  <si>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</si>
  <si>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</si>
  <si>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</si>
  <si>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</si>
  <si>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</si>
  <si>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</si>
  <si>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</si>
  <si>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</si>
  <si>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</si>
  <si>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</si>
  <si>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</si>
  <si>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</si>
  <si>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</si>
  <si>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</si>
  <si>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</si>
  <si>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</si>
  <si>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</si>
  <si>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</si>
  <si>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</si>
  <si>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</si>
  <si>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</si>
  <si>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</si>
  <si>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</si>
  <si>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</si>
  <si>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</si>
  <si>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</si>
  <si>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</si>
  <si>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</si>
  <si>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</si>
  <si>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</si>
  <si>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</si>
  <si>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</si>
  <si>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</si>
  <si>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</si>
  <si>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</si>
  <si>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</si>
  <si>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</si>
  <si>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</si>
  <si>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</si>
  <si>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</si>
  <si>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</si>
  <si>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</si>
  <si>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</si>
  <si>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</si>
  <si>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</si>
  <si>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</si>
  <si>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</si>
  <si>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</si>
  <si>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</si>
  <si>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</si>
  <si>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</si>
  <si>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</si>
  <si>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</si>
  <si>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</si>
  <si>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</si>
  <si>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</si>
  <si>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</si>
  <si>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</si>
  <si>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</si>
  <si>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</si>
  <si>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</si>
  <si>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</si>
  <si>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</si>
  <si>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</si>
  <si>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</si>
  <si>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</si>
  <si>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</si>
  <si>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</si>
  <si>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</si>
  <si>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</si>
  <si>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</si>
  <si>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</si>
  <si>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</si>
  <si>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</si>
  <si>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</si>
  <si>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</si>
  <si>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</si>
  <si>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</si>
  <si>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</si>
  <si>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</si>
  <si>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</si>
  <si>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</si>
  <si>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</si>
  <si>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</si>
  <si>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</si>
  <si>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</si>
  <si>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</si>
  <si>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</si>
  <si>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</si>
  <si>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</si>
  <si>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</si>
  <si>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</si>
  <si>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</si>
  <si>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</si>
  <si>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</si>
  <si>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</si>
  <si>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</si>
  <si>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</si>
  <si>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</si>
  <si>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</si>
  <si>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</si>
  <si>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</si>
  <si>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</si>
  <si>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</si>
  <si>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</si>
  <si>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</si>
  <si>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</si>
  <si>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</si>
  <si>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</si>
  <si>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</si>
  <si>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</si>
  <si>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</si>
  <si>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</si>
  <si>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</si>
  <si>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</si>
  <si>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</si>
  <si>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</si>
  <si>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</si>
  <si>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</si>
  <si>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</si>
  <si>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</si>
  <si>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</si>
  <si>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</si>
  <si>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</si>
  <si>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</si>
  <si>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</si>
  <si>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</si>
  <si>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</si>
  <si>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</si>
  <si>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</si>
  <si>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</si>
  <si>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</si>
  <si>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</si>
  <si>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</si>
  <si>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</si>
  <si>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</si>
  <si>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</si>
  <si>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</si>
  <si>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</si>
  <si>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</si>
  <si>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</si>
  <si>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</si>
  <si>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</si>
  <si>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</si>
  <si>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</si>
  <si>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</si>
  <si>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</si>
  <si>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</si>
  <si>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</si>
  <si>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</si>
  <si>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</si>
  <si>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</si>
  <si>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</si>
  <si>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</si>
  <si>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</si>
  <si>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</si>
  <si>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</si>
  <si>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</si>
  <si>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</si>
  <si>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</si>
  <si>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</si>
  <si>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</si>
  <si>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</si>
  <si>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</si>
  <si>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</si>
  <si>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</si>
  <si>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</si>
  <si>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</si>
  <si>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</si>
  <si>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</si>
  <si>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</si>
  <si>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</si>
  <si>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</si>
  <si>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</si>
  <si>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</si>
  <si>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</si>
  <si>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</si>
  <si>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</si>
  <si>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</si>
  <si>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</si>
  <si>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</si>
  <si>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</si>
  <si>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</si>
  <si>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</si>
  <si>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</si>
  <si>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</si>
  <si>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</si>
  <si>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</si>
  <si>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</si>
  <si>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</si>
  <si>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</si>
  <si>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</si>
  <si>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</si>
  <si>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</si>
  <si>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</si>
  <si>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</si>
  <si>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</si>
  <si>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</si>
  <si>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</si>
  <si>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</si>
  <si>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</si>
  <si>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</si>
  <si>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</si>
  <si>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</si>
  <si>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</si>
  <si>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</si>
  <si>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</si>
  <si>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</si>
  <si>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</si>
  <si>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</si>
  <si>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</si>
  <si>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</si>
  <si>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</si>
  <si>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</si>
  <si>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</si>
  <si>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</si>
  <si>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</si>
  <si>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</si>
  <si>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</si>
  <si>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</si>
  <si>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</si>
  <si>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</si>
  <si>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</si>
  <si>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</si>
  <si>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</si>
  <si>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</si>
  <si>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</si>
  <si>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</si>
  <si>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</si>
  <si>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</si>
  <si>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</si>
  <si>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</si>
  <si>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</si>
  <si>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</si>
  <si>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</si>
  <si>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</si>
  <si>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</si>
  <si>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</si>
  <si>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</si>
  <si>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</si>
  <si>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</si>
  <si>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</si>
  <si>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</si>
  <si>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</si>
  <si>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</si>
  <si>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</si>
  <si>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</si>
  <si>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</si>
  <si>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</si>
  <si>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</si>
  <si>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</si>
  <si>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</si>
  <si>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</si>
  <si>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</si>
  <si>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</si>
  <si>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</si>
  <si>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</si>
  <si>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</si>
  <si>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</si>
  <si>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</si>
  <si>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</si>
  <si>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</si>
  <si>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</si>
  <si>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</si>
  <si>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</si>
  <si>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</si>
  <si>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</si>
  <si>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</si>
  <si>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</si>
  <si>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</si>
  <si>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</si>
  <si>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</si>
  <si>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</si>
  <si>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</si>
  <si>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</si>
  <si>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</si>
  <si>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</si>
  <si>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</si>
  <si>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</si>
  <si>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</si>
  <si>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</si>
  <si>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</si>
  <si>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</si>
  <si>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</si>
  <si>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</si>
  <si>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</si>
  <si>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</si>
  <si>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</si>
  <si>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</si>
  <si>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</si>
  <si>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</si>
  <si>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</si>
  <si>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</si>
  <si>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</si>
  <si>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</si>
  <si>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</si>
  <si>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</si>
  <si>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</si>
  <si>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</si>
  <si>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</si>
  <si>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</si>
  <si>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</si>
  <si>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</si>
  <si>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</si>
  <si>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</si>
  <si>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</si>
  <si>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</si>
  <si>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</si>
  <si>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</si>
  <si>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</si>
  <si>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</si>
  <si>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</si>
  <si>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</si>
  <si>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</si>
  <si>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</si>
  <si>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</si>
  <si>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</si>
  <si>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</si>
  <si>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</si>
  <si>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</si>
  <si>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</si>
  <si>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</si>
  <si>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</si>
  <si>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</si>
  <si>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</si>
  <si>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</si>
  <si>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</si>
  <si>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</si>
  <si>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</si>
  <si>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</si>
  <si>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</si>
  <si>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</si>
  <si>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</si>
  <si>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</si>
  <si>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</si>
  <si>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</si>
  <si>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</si>
  <si>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</si>
  <si>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</si>
  <si>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</si>
  <si>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</si>
  <si>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</si>
  <si>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</si>
  <si>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</si>
  <si>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</si>
  <si>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</si>
  <si>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</si>
  <si>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</si>
  <si>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</si>
  <si>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</si>
  <si>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</si>
  <si>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</si>
  <si>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</si>
  <si>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</si>
  <si>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</si>
  <si>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</si>
  <si>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</si>
  <si>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</si>
  <si>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</si>
  <si>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</si>
  <si>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</si>
  <si>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</si>
  <si>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</si>
  <si>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</si>
  <si>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</si>
  <si>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</si>
  <si>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</si>
  <si>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</si>
  <si>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</si>
  <si>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</si>
  <si>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</si>
  <si>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</si>
  <si>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</si>
  <si>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</si>
  <si>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</si>
  <si>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</si>
  <si>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</si>
  <si>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</si>
  <si>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</si>
  <si>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</si>
  <si>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</si>
  <si>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</si>
  <si>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</si>
  <si>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</si>
  <si>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</si>
  <si>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</si>
  <si>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</si>
  <si>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</si>
  <si>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</si>
  <si>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</si>
  <si>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</si>
  <si>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</si>
  <si>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</si>
  <si>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</si>
  <si>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</si>
  <si>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</si>
  <si>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</si>
  <si>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</si>
  <si>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</si>
  <si>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</si>
  <si>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</si>
  <si>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</si>
  <si>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</si>
  <si>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</si>
  <si>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</si>
  <si>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</si>
  <si>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</si>
  <si>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</si>
  <si>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</si>
  <si>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</si>
  <si>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</si>
  <si>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</si>
  <si>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</si>
  <si>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</si>
  <si>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</si>
  <si>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</si>
  <si>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</si>
  <si>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</si>
  <si>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</si>
  <si>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</si>
  <si>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</si>
  <si>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</si>
  <si>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</si>
  <si>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</si>
  <si>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</si>
  <si>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</si>
  <si>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</si>
  <si>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</si>
  <si>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</si>
  <si>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</si>
  <si>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</si>
  <si>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</si>
  <si>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</si>
  <si>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</si>
  <si>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</si>
  <si>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</si>
  <si>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</si>
  <si>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</si>
  <si>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</si>
  <si>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</si>
  <si>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</si>
  <si>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</si>
  <si>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</si>
  <si>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</si>
  <si>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</si>
  <si>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</si>
  <si>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</si>
  <si>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</si>
  <si>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</si>
  <si>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</si>
  <si>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</si>
  <si>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</si>
  <si>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</si>
  <si>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</si>
  <si>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</si>
  <si>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</si>
  <si>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</si>
  <si>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</si>
  <si>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</si>
  <si>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</si>
  <si>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</si>
  <si>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</si>
  <si>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</si>
  <si>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</si>
  <si>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</si>
  <si>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</si>
  <si>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</si>
  <si>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</si>
  <si>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</si>
  <si>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</si>
  <si>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</si>
  <si>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</si>
  <si>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</si>
  <si>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</si>
  <si>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</si>
  <si>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</si>
  <si>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</si>
  <si>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</si>
  <si>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</si>
  <si>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</si>
  <si>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</si>
  <si>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</si>
  <si>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</si>
  <si>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</si>
  <si>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</si>
  <si>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</si>
  <si>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</si>
  <si>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</si>
  <si>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</si>
  <si>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</si>
  <si>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</si>
  <si>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</si>
  <si>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</si>
  <si>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</si>
  <si>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</si>
  <si>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</si>
  <si>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</si>
  <si>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</si>
  <si>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</si>
  <si>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</si>
  <si>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</si>
  <si>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</si>
  <si>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</si>
  <si>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</si>
  <si>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</si>
  <si>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</si>
  <si>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</si>
  <si>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</si>
  <si>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</si>
  <si>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</si>
  <si>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</si>
  <si>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</si>
  <si>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</si>
  <si>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</si>
  <si>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</si>
  <si>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</si>
  <si>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</si>
  <si>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</si>
  <si>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</si>
  <si>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</si>
  <si>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</si>
  <si>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</si>
  <si>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</si>
  <si>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</si>
  <si>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</si>
  <si>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</si>
  <si>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</si>
  <si>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</si>
  <si>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</si>
  <si>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</si>
  <si>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</si>
  <si>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</si>
  <si>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</si>
  <si>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</si>
  <si>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</si>
  <si>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</si>
  <si>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</si>
  <si>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</si>
  <si>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</si>
  <si>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</si>
  <si>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</si>
  <si>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</si>
  <si>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</si>
  <si>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</si>
  <si>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</si>
  <si>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</si>
  <si>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</si>
  <si>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</si>
  <si>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</si>
  <si>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</si>
  <si>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</si>
  <si>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</si>
  <si>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</si>
  <si>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</si>
  <si>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</si>
  <si>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</si>
  <si>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</si>
  <si>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</si>
  <si>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</si>
  <si>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</si>
  <si>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</si>
  <si>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</si>
  <si>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</si>
  <si>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</si>
  <si>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</si>
  <si>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</si>
  <si>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</si>
  <si>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</si>
  <si>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</si>
  <si>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</si>
  <si>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</si>
  <si>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</si>
  <si>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</si>
  <si>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</si>
  <si>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</si>
  <si>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</si>
  <si>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</si>
  <si>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</si>
  <si>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</si>
  <si>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</si>
  <si>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</si>
  <si>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</si>
  <si>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</si>
  <si>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</si>
  <si>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</si>
  <si>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</si>
  <si>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</si>
  <si>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</si>
  <si>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</si>
  <si>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</si>
  <si>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</si>
  <si>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</si>
  <si>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</si>
  <si>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</si>
  <si>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</si>
  <si>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</si>
  <si>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</si>
  <si>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</si>
  <si>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</si>
  <si>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</si>
  <si>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</si>
  <si>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</si>
  <si>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</si>
  <si>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</si>
  <si>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</si>
  <si>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</si>
  <si>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</si>
  <si>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</si>
  <si>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</si>
  <si>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</si>
  <si>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</si>
  <si>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</si>
  <si>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</si>
  <si>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</si>
  <si>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</si>
  <si>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</si>
  <si>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</si>
  <si>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</si>
  <si>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</si>
  <si>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</si>
  <si>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</si>
  <si>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</si>
  <si>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</si>
  <si>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</si>
  <si>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</si>
  <si>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</si>
  <si>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</si>
  <si>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</si>
  <si>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</si>
  <si>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</si>
  <si>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</si>
  <si>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</si>
  <si>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</si>
  <si>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</si>
  <si>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</si>
  <si>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</si>
  <si>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</si>
  <si>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</si>
  <si>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</si>
  <si>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</si>
  <si>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</si>
  <si>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</si>
  <si>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</si>
  <si>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</si>
  <si>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</si>
  <si>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</si>
  <si>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</si>
  <si>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</si>
  <si>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</si>
  <si>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</si>
  <si>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</si>
  <si>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</si>
  <si>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</si>
  <si>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</si>
  <si>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</si>
  <si>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</si>
  <si>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</si>
  <si>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</si>
  <si>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</si>
  <si>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</si>
  <si>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</si>
  <si>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</si>
  <si>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</si>
  <si>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</si>
  <si>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</si>
  <si>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</si>
  <si>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</si>
  <si>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</si>
  <si>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</si>
  <si>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</si>
  <si>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</si>
  <si>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</si>
  <si>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</si>
  <si>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</si>
  <si>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</si>
  <si>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</si>
  <si>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</si>
  <si>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</si>
  <si>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</si>
  <si>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</si>
  <si>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</si>
  <si>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</si>
  <si>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</si>
  <si>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</si>
  <si>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</si>
  <si>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</si>
  <si>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</si>
  <si>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</si>
  <si>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</si>
  <si>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</si>
  <si>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</si>
  <si>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</si>
  <si>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</si>
  <si>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</si>
  <si>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</si>
  <si>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</si>
  <si>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</si>
  <si>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</si>
  <si>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</si>
  <si>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</si>
  <si>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</si>
  <si>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</si>
  <si>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</si>
  <si>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</si>
  <si>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</si>
  <si>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</si>
  <si>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</si>
  <si>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</si>
  <si>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</si>
  <si>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</si>
  <si>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</si>
  <si>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</si>
  <si>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</si>
  <si>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</si>
  <si>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</si>
  <si>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</si>
  <si>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</si>
  <si>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</si>
  <si>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</si>
  <si>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</si>
  <si>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</si>
  <si>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</si>
  <si>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</si>
  <si>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</si>
  <si>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</si>
  <si>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</si>
  <si>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</si>
  <si>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</si>
  <si>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</si>
  <si>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</si>
  <si>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</si>
  <si>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</si>
  <si>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</si>
  <si>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</si>
  <si>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</si>
  <si>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</si>
  <si>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</si>
  <si>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</si>
  <si>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</si>
  <si>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</si>
  <si>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</si>
  <si>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</si>
  <si>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</si>
  <si>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</si>
  <si>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</si>
  <si>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</si>
  <si>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</si>
  <si>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</si>
  <si>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</si>
  <si>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</si>
  <si>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</si>
  <si>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</si>
  <si>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</si>
  <si>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</si>
  <si>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</si>
  <si>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</si>
  <si>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</si>
  <si>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</si>
  <si>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</si>
  <si>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</si>
  <si>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</si>
  <si>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</si>
  <si>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</si>
  <si>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</si>
  <si>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</si>
  <si>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</si>
  <si>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</si>
  <si>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</si>
  <si>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</si>
  <si>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</si>
  <si>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</si>
  <si>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</si>
  <si>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</si>
  <si>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</si>
  <si>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</si>
  <si>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</si>
  <si>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</si>
  <si>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</si>
  <si>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</si>
  <si>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</si>
  <si>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</si>
  <si>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</si>
  <si>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</si>
  <si>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</si>
  <si>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</si>
  <si>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</si>
  <si>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</si>
  <si>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</si>
  <si>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</si>
  <si>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</si>
  <si>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</si>
  <si>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</si>
  <si>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</si>
  <si>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</si>
  <si>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</si>
  <si>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</si>
  <si>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</si>
  <si>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</si>
  <si>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</si>
  <si>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</si>
  <si>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</si>
  <si>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</si>
  <si>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</si>
  <si>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</si>
  <si>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</si>
  <si>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</si>
  <si>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</si>
  <si>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</si>
  <si>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</si>
  <si>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</si>
  <si>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</si>
  <si>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</si>
  <si>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</si>
  <si>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</si>
  <si>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</si>
  <si>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</si>
  <si>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</si>
  <si>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</si>
  <si>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</si>
  <si>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</si>
  <si>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</si>
  <si>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</si>
  <si>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</si>
  <si>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</si>
  <si>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</si>
  <si>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</si>
  <si>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</si>
  <si>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</si>
  <si>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</si>
  <si>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</si>
  <si>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</si>
  <si>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</si>
  <si>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</si>
  <si>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</si>
  <si>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</si>
  <si>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</si>
  <si>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</si>
  <si>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</si>
  <si>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</si>
  <si>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</si>
  <si>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</si>
  <si>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</si>
  <si>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</si>
  <si>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</si>
  <si>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</si>
  <si>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</si>
  <si>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</si>
  <si>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</si>
  <si>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</si>
  <si>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</si>
  <si>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</si>
  <si>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</si>
  <si>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</si>
  <si>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</si>
  <si>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</si>
  <si>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</si>
  <si>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</si>
  <si>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</si>
  <si>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</si>
  <si>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</si>
  <si>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</si>
  <si>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</si>
  <si>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</si>
  <si>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</si>
  <si>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</si>
  <si>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</si>
  <si>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</si>
  <si>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</si>
  <si>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</si>
  <si>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</si>
  <si>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</si>
  <si>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</si>
  <si>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</si>
  <si>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</si>
  <si>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</si>
  <si>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</si>
  <si>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</si>
  <si>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</si>
  <si>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</si>
  <si>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</si>
  <si>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</si>
  <si>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</si>
  <si>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</si>
  <si>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</si>
  <si>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</si>
  <si>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</si>
  <si>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</si>
  <si>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</si>
  <si>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</si>
  <si>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</si>
  <si>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</si>
  <si>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</si>
  <si>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</si>
  <si>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</si>
  <si>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</si>
  <si>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</si>
  <si>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</si>
  <si>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</si>
  <si>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</si>
  <si>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</si>
  <si>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</si>
  <si>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</si>
  <si>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</si>
  <si>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</si>
  <si>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</si>
  <si>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</si>
  <si>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</si>
  <si>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</si>
  <si>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</si>
  <si>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</si>
  <si>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</si>
  <si>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</si>
  <si>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</si>
  <si>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</si>
  <si>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</si>
  <si>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</si>
  <si>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</si>
  <si>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</si>
  <si>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</si>
  <si>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</si>
  <si>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</si>
  <si>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</si>
  <si>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</si>
  <si>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</si>
  <si>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</si>
  <si>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</si>
  <si>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</si>
  <si>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</si>
  <si>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</si>
  <si>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</si>
  <si>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</si>
  <si>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</si>
  <si>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</si>
  <si>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</si>
  <si>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</si>
  <si>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</si>
  <si>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</si>
  <si>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</si>
  <si>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</si>
  <si>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</si>
  <si>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</si>
  <si>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</si>
  <si>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</si>
  <si>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</si>
  <si>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</si>
  <si>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</si>
  <si>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</si>
  <si>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</si>
  <si>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</si>
  <si>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</si>
  <si>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</si>
  <si>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</si>
  <si>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</si>
  <si>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</si>
  <si>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</si>
  <si>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</si>
  <si>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</si>
  <si>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</si>
  <si>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</si>
  <si>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</si>
  <si>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</si>
  <si>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</si>
  <si>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</si>
  <si>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</si>
  <si>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</si>
  <si>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</si>
  <si>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</si>
  <si>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</si>
  <si>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</si>
  <si>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</si>
  <si>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</si>
  <si>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</si>
  <si>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</si>
  <si>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</si>
  <si>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</si>
  <si>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</si>
  <si>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</si>
  <si>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</si>
  <si>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</si>
  <si>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</si>
  <si>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</si>
  <si>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</si>
  <si>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</si>
  <si>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</si>
  <si>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</si>
  <si>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</si>
  <si>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</si>
  <si>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</si>
  <si>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</si>
  <si>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</si>
  <si>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</si>
  <si>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</si>
  <si>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</si>
  <si>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</si>
  <si>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</si>
  <si>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</si>
  <si>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</si>
  <si>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</si>
  <si>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</si>
  <si>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</si>
  <si>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</si>
  <si>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</si>
  <si>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</si>
  <si>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</si>
  <si>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</si>
  <si>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</si>
  <si>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</si>
  <si>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</si>
  <si>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</si>
  <si>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</si>
  <si>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</si>
  <si>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</si>
  <si>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</si>
  <si>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</si>
  <si>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</si>
  <si>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</si>
  <si>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</si>
  <si>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</si>
  <si>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</si>
  <si>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</si>
  <si>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</si>
  <si>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</si>
  <si>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</si>
  <si>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</si>
  <si>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</si>
  <si>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</si>
  <si>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</si>
  <si>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</si>
  <si>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</si>
  <si>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</si>
  <si>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</si>
  <si>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</si>
  <si>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</si>
  <si>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</si>
  <si>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</si>
  <si>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</si>
  <si>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</si>
  <si>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</si>
  <si>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</si>
  <si>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</si>
  <si>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</si>
  <si>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</si>
  <si>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</si>
  <si>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</si>
  <si>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</si>
  <si>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</si>
  <si>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</si>
  <si>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</si>
  <si>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</si>
  <si>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</si>
  <si>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</si>
  <si>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</si>
  <si>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</si>
  <si>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</si>
  <si>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</si>
  <si>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</si>
  <si>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</si>
  <si>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</si>
  <si>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</si>
  <si>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</si>
  <si>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</si>
  <si>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</si>
  <si>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</si>
  <si>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</si>
  <si>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</si>
  <si>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</si>
  <si>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</si>
  <si>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</si>
  <si>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</si>
  <si>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</si>
  <si>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</si>
  <si>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</si>
  <si>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</si>
  <si>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</si>
  <si>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</si>
  <si>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</si>
  <si>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</si>
  <si>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</si>
  <si>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</si>
  <si>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</si>
  <si>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</si>
  <si>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</si>
  <si>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</si>
  <si>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</si>
  <si>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</si>
  <si>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</si>
  <si>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</si>
  <si>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</si>
  <si>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</si>
  <si>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</si>
  <si>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</si>
  <si>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</si>
  <si>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</si>
  <si>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</si>
  <si>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</si>
  <si>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</si>
  <si>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</si>
  <si>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</si>
  <si>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</si>
  <si>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</si>
  <si>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</si>
  <si>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</si>
  <si>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</si>
  <si>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</si>
  <si>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</si>
  <si>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</si>
  <si>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</si>
  <si>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</si>
  <si>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</si>
  <si>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</si>
  <si>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</si>
  <si>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</si>
  <si>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</si>
  <si>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</si>
  <si>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</si>
  <si>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</si>
  <si>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</si>
  <si>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</si>
  <si>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</si>
  <si>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</si>
  <si>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</si>
  <si>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</si>
  <si>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</si>
  <si>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</si>
  <si>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</si>
  <si>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</si>
  <si>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</si>
  <si>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</si>
  <si>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</si>
  <si>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</si>
  <si>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</si>
  <si>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</si>
  <si>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</si>
  <si>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</si>
  <si>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</si>
  <si>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</si>
  <si>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</si>
  <si>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</si>
  <si>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</si>
  <si>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</si>
  <si>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</si>
  <si>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</si>
  <si>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</si>
  <si>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</si>
  <si>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</si>
  <si>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</si>
  <si>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</si>
  <si>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</si>
  <si>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</si>
  <si>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</si>
  <si>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</si>
  <si>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</si>
  <si>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</si>
  <si>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</si>
  <si>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</si>
  <si>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</si>
  <si>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</si>
  <si>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</si>
  <si>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</si>
  <si>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</si>
  <si>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</si>
  <si>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</si>
  <si>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</si>
  <si>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</si>
  <si>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</si>
  <si>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</si>
  <si>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</si>
  <si>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</si>
  <si>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</si>
  <si>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</si>
  <si>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</si>
  <si>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</si>
  <si>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</si>
  <si>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</si>
  <si>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</si>
  <si>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</si>
  <si>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</si>
  <si>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</si>
  <si>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</si>
  <si>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</si>
  <si>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</si>
  <si>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</si>
  <si>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</si>
  <si>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</si>
  <si>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</si>
  <si>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</si>
  <si>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</si>
  <si>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</si>
  <si>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</si>
  <si>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</si>
  <si>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</si>
  <si>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</si>
  <si>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</si>
  <si>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</si>
  <si>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</si>
  <si>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</si>
  <si>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</si>
  <si>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</si>
  <si>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</si>
  <si>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</si>
  <si>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</si>
  <si>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</si>
  <si>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</si>
  <si>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</si>
  <si>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</si>
  <si>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</si>
  <si>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</si>
  <si>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</si>
  <si>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</si>
  <si>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</si>
  <si>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</si>
  <si>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</si>
  <si>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</si>
  <si>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</si>
  <si>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</si>
  <si>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</si>
  <si>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</si>
  <si>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</si>
  <si>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</si>
  <si>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</si>
  <si>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</si>
  <si>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</si>
  <si>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</si>
  <si>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</si>
  <si>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</si>
  <si>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</si>
  <si>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</si>
  <si>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</si>
  <si>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</si>
  <si>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</si>
  <si>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</si>
  <si>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</si>
  <si>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</si>
  <si>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</si>
  <si>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</si>
  <si>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</si>
  <si>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</si>
  <si>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</si>
  <si>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</si>
  <si>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</si>
  <si>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</si>
  <si>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</si>
  <si>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</si>
  <si>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</si>
  <si>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</si>
  <si>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</si>
  <si>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</si>
  <si>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</si>
  <si>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</si>
  <si>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</si>
  <si>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</si>
  <si>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</si>
  <si>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</si>
  <si>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</si>
  <si>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</si>
  <si>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</si>
  <si>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</si>
  <si>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</si>
  <si>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</si>
  <si>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</si>
  <si>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</si>
  <si>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</si>
  <si>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</si>
  <si>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</si>
  <si>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</si>
  <si>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</si>
  <si>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</si>
  <si>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</si>
  <si>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</si>
  <si>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</si>
  <si>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</si>
  <si>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</si>
  <si>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</si>
  <si>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</si>
  <si>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</si>
  <si>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</si>
  <si>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</si>
  <si>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</si>
  <si>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</si>
  <si>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</si>
  <si>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</si>
  <si>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</si>
  <si>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</si>
  <si>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</si>
  <si>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</si>
  <si>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</si>
  <si>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</si>
  <si>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</si>
  <si>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</si>
  <si>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</si>
  <si>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</si>
  <si>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</si>
  <si>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</si>
  <si>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</si>
  <si>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</si>
  <si>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</si>
  <si>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</si>
  <si>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</si>
  <si>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</si>
  <si>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</si>
  <si>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</si>
  <si>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</si>
  <si>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</si>
  <si>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</si>
  <si>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</si>
  <si>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</si>
  <si>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</si>
  <si>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</si>
  <si>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</si>
  <si>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</si>
  <si>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</si>
  <si>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</si>
  <si>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</si>
  <si>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</si>
  <si>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</si>
  <si>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</si>
  <si>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</si>
  <si>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</si>
  <si>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</si>
  <si>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</si>
  <si>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</si>
  <si>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</si>
  <si>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</si>
  <si>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</si>
  <si>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</si>
  <si>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</si>
  <si>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</si>
  <si>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</si>
  <si>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</si>
  <si>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</si>
  <si>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</si>
  <si>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</si>
  <si>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</si>
  <si>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</si>
  <si>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</si>
  <si>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</si>
  <si>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</si>
  <si>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</si>
  <si>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</si>
  <si>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</si>
  <si>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</si>
  <si>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</si>
  <si>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</si>
  <si>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</si>
  <si>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</si>
  <si>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</si>
  <si>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</si>
  <si>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</si>
  <si>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</si>
  <si>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</si>
  <si>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</si>
  <si>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</si>
  <si>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</si>
  <si>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</si>
  <si>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</si>
  <si>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</si>
  <si>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</si>
  <si>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</si>
  <si>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</si>
  <si>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</si>
  <si>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</si>
  <si>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</si>
  <si>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</si>
  <si>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</si>
  <si>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</si>
  <si>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</si>
  <si>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</si>
  <si>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</si>
  <si>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</si>
  <si>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</si>
  <si>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</si>
  <si>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</si>
  <si>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</si>
  <si>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</si>
  <si>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</si>
  <si>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</si>
  <si>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</si>
  <si>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</si>
  <si>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</si>
  <si>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</si>
  <si>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</si>
  <si>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</si>
  <si>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</si>
  <si>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</si>
  <si>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</si>
  <si>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</si>
  <si>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</si>
  <si>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</si>
  <si>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</si>
  <si>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</si>
  <si>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</si>
  <si>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</si>
  <si>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</si>
  <si>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</si>
  <si>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</si>
  <si>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</si>
  <si>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</si>
  <si>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</si>
  <si>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</si>
  <si>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</si>
  <si>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</si>
  <si>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</si>
  <si>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</si>
  <si>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</si>
  <si>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</si>
  <si>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</si>
  <si>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</si>
  <si>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</si>
  <si>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</si>
  <si>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</si>
  <si>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</si>
  <si>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</si>
  <si>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</si>
  <si>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</si>
  <si>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</si>
  <si>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</si>
  <si>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</si>
  <si>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</si>
  <si>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</si>
  <si>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</si>
  <si>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</si>
  <si>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</si>
  <si>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</si>
  <si>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</si>
  <si>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</si>
  <si>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</si>
  <si>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</si>
  <si>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</si>
  <si>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</si>
  <si>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</si>
  <si>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</si>
  <si>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</si>
  <si>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</si>
  <si>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</si>
  <si>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</si>
  <si>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</si>
  <si>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</si>
  <si>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</si>
  <si>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</si>
  <si>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</si>
  <si>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</si>
  <si>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</si>
  <si>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</si>
  <si>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</si>
  <si>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</si>
  <si>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</si>
  <si>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</si>
  <si>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</si>
  <si>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</si>
  <si>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</si>
  <si>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</si>
  <si>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</si>
  <si>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</si>
  <si>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</si>
  <si>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</si>
  <si>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</si>
  <si>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</si>
  <si>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</si>
  <si>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</si>
  <si>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</si>
  <si>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</si>
  <si>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</si>
  <si>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</si>
  <si>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</si>
  <si>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</si>
  <si>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</si>
  <si>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</si>
  <si>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</si>
  <si>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</si>
  <si>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</si>
  <si>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</si>
  <si>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</si>
  <si>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</si>
  <si>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</si>
  <si>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</si>
  <si>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</si>
  <si>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</si>
  <si>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</si>
  <si>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</si>
  <si>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</si>
  <si>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</si>
  <si>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</si>
  <si>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</si>
  <si>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</si>
  <si>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</si>
  <si>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</si>
  <si>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</si>
  <si>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</si>
  <si>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</si>
  <si>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</si>
  <si>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</si>
  <si>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</si>
  <si>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</si>
  <si>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</si>
  <si>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</si>
  <si>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</si>
  <si>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</si>
  <si>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</si>
  <si>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</si>
  <si>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</si>
  <si>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</si>
  <si>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</si>
  <si>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</si>
  <si>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</si>
  <si>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</si>
  <si>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</si>
  <si>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</si>
  <si>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</si>
  <si>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</si>
  <si>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</si>
  <si>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</si>
  <si>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</si>
  <si>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</si>
  <si>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</si>
  <si>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</si>
  <si>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</si>
  <si>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</si>
  <si>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</si>
  <si>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</si>
  <si>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</si>
  <si>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</si>
  <si>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</si>
  <si>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</si>
  <si>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</si>
  <si>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</si>
  <si>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</si>
  <si>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</si>
  <si>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</si>
  <si>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</si>
  <si>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</si>
  <si>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</si>
  <si>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</si>
  <si>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</si>
  <si>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</si>
  <si>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</si>
  <si>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</si>
  <si>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</si>
  <si>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</si>
  <si>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</si>
  <si>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</si>
  <si>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</si>
  <si>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</si>
  <si>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</si>
  <si>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</si>
  <si>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</si>
  <si>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</si>
  <si>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</si>
  <si>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</si>
  <si>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</si>
  <si>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</si>
  <si>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</si>
  <si>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</si>
  <si>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</si>
  <si>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</si>
  <si>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</si>
  <si>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</si>
  <si>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</si>
  <si>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</si>
  <si>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</si>
  <si>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</si>
  <si>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</si>
  <si>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</si>
  <si>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</si>
  <si>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</si>
  <si>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</si>
  <si>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</si>
  <si>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</si>
  <si>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</si>
  <si>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</si>
  <si>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</si>
  <si>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</si>
  <si>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</si>
  <si>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</si>
  <si>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</si>
  <si>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</si>
  <si>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</si>
  <si>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</si>
  <si>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</si>
  <si>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</si>
  <si>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</si>
  <si>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</si>
  <si>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</si>
  <si>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</si>
  <si>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</si>
  <si>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</si>
  <si>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</si>
  <si>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</si>
  <si>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</si>
  <si>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</si>
  <si>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</si>
  <si>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</si>
  <si>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</si>
  <si>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</si>
  <si>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</si>
  <si>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</si>
  <si>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</si>
  <si>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</si>
  <si>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</si>
  <si>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</si>
  <si>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</si>
  <si>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</si>
  <si>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</si>
  <si>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</si>
  <si>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</si>
  <si>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</si>
  <si>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</si>
  <si>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</si>
  <si>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</si>
  <si>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</si>
  <si>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</si>
  <si>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</si>
  <si>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</si>
  <si>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</si>
  <si>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</si>
  <si>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</si>
  <si>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</si>
  <si>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</si>
  <si>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</si>
  <si>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</si>
  <si>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</si>
  <si>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</si>
  <si>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</si>
  <si>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</si>
  <si>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</si>
  <si>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</si>
  <si>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</si>
  <si>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</si>
  <si>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</si>
  <si>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</si>
  <si>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</si>
  <si>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</si>
  <si>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</si>
  <si>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</si>
  <si>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</si>
  <si>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</si>
  <si>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</si>
  <si>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</si>
  <si>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</si>
  <si>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</si>
  <si>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</si>
  <si>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</si>
  <si>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</si>
  <si>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</si>
  <si>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</si>
  <si>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</si>
  <si>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</si>
  <si>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</si>
  <si>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</si>
  <si>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</si>
  <si>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</si>
  <si>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</si>
  <si>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</si>
  <si>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</si>
  <si>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</si>
  <si>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</si>
  <si>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</si>
  <si>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</si>
  <si>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</si>
  <si>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</si>
  <si>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</si>
  <si>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</si>
  <si>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</si>
  <si>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</si>
  <si>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</si>
  <si>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</si>
  <si>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</si>
  <si>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</si>
  <si>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</si>
  <si>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</si>
  <si>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</si>
  <si>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</si>
  <si>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</si>
  <si>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</si>
  <si>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</si>
  <si>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</si>
  <si>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</si>
  <si>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</si>
  <si>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</si>
  <si>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</si>
  <si>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</si>
  <si>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</si>
  <si>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</si>
  <si>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</si>
  <si>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</si>
  <si>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</si>
  <si>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</si>
  <si>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</si>
  <si>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</si>
  <si>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</si>
  <si>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</si>
  <si>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</si>
  <si>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</si>
  <si>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</si>
  <si>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</si>
  <si>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</si>
  <si>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</si>
  <si>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</si>
  <si>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</si>
  <si>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</si>
  <si>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</si>
  <si>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</si>
  <si>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</si>
  <si>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</si>
  <si>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</si>
  <si>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</si>
  <si>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</si>
  <si>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</si>
  <si>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</si>
  <si>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</si>
  <si>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</si>
  <si>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</si>
  <si>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</si>
  <si>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</si>
  <si>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</si>
  <si>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</si>
  <si>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</si>
  <si>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</si>
  <si>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</si>
  <si>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</si>
  <si>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</si>
  <si>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</si>
  <si>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</si>
  <si>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</si>
  <si>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</si>
  <si>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</si>
  <si>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</si>
  <si>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</si>
  <si>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</si>
  <si>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</si>
  <si>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</si>
  <si>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</si>
  <si>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</si>
  <si>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</si>
  <si>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</si>
  <si>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</si>
  <si>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</si>
  <si>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</si>
  <si>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</si>
  <si>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</si>
  <si>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</si>
  <si>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</si>
  <si>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</si>
  <si>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</si>
  <si>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</si>
  <si>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</si>
  <si>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</si>
  <si>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</si>
  <si>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</si>
  <si>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</si>
  <si>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</si>
  <si>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</si>
  <si>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</si>
  <si>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</si>
  <si>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</si>
  <si>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</si>
  <si>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</si>
  <si>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</si>
  <si>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</si>
  <si>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</si>
  <si>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</si>
  <si>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</si>
  <si>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</si>
  <si>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</si>
  <si>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</si>
  <si>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</si>
  <si>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</si>
  <si>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</si>
  <si>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</si>
  <si>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</si>
  <si>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</si>
  <si>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</si>
  <si>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</si>
  <si>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</si>
  <si>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</si>
  <si>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</si>
  <si>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</si>
  <si>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</si>
  <si>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</si>
  <si>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</si>
  <si>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</si>
  <si>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</si>
  <si>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</si>
  <si>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</si>
  <si>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</si>
  <si>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</si>
  <si>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</si>
  <si>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</si>
  <si>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</si>
  <si>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</si>
  <si>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</si>
  <si>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</si>
  <si>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</si>
  <si>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</si>
  <si>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</si>
  <si>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</si>
  <si>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</si>
  <si>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</si>
  <si>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</si>
  <si>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</si>
  <si>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</si>
  <si>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</si>
  <si>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</si>
  <si>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</si>
  <si>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</si>
  <si>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</si>
  <si>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</si>
  <si>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</si>
  <si>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</si>
  <si>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</si>
  <si>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</si>
  <si>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</si>
  <si>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</si>
  <si>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</si>
  <si>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</si>
  <si>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</si>
  <si>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</si>
  <si>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</si>
  <si>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</si>
  <si>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</si>
  <si>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</si>
  <si>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</si>
  <si>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</si>
  <si>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</si>
  <si>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</si>
  <si>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</si>
  <si>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</si>
  <si>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</si>
  <si>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</si>
  <si>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</si>
  <si>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</si>
  <si>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</si>
  <si>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</si>
  <si>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</si>
  <si>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</si>
  <si>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</si>
  <si>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</si>
  <si>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</si>
  <si>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</si>
  <si>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</si>
  <si>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</si>
  <si>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</si>
  <si>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</si>
  <si>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</si>
  <si>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</si>
  <si>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</si>
  <si>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</si>
  <si>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</si>
  <si>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</si>
  <si>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</si>
  <si>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</si>
  <si>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</si>
  <si>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</si>
  <si>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</si>
  <si>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</si>
  <si>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</si>
  <si>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</si>
  <si>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</si>
  <si>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</si>
  <si>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</si>
  <si>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</si>
  <si>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</si>
  <si>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</si>
  <si>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</si>
  <si>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</si>
  <si>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</si>
  <si>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</si>
  <si>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</si>
  <si>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</si>
  <si>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</si>
  <si>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</si>
  <si>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</si>
  <si>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</si>
  <si>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</si>
  <si>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</si>
  <si>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</si>
  <si>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</si>
  <si>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</si>
  <si>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</si>
  <si>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</si>
  <si>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</si>
  <si>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</si>
  <si>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</si>
  <si>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</si>
  <si>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</si>
  <si>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</si>
  <si>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</si>
  <si>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</si>
  <si>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</si>
  <si>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</si>
  <si>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</si>
  <si>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</si>
  <si>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</si>
  <si>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</si>
  <si>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</si>
  <si>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</si>
  <si>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</si>
  <si>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</si>
  <si>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</si>
  <si>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</si>
  <si>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</si>
  <si>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</si>
  <si>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</si>
  <si>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</si>
  <si>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</si>
  <si>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</si>
  <si>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</si>
  <si>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</si>
  <si>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</si>
  <si>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</si>
  <si>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</si>
  <si>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</si>
  <si>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</si>
  <si>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</si>
  <si>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</si>
  <si>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</si>
  <si>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</si>
  <si>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</si>
  <si>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</si>
  <si>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</si>
  <si>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</si>
  <si>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</si>
  <si>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</si>
  <si>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</si>
  <si>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</si>
  <si>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</si>
  <si>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</si>
  <si>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</si>
  <si>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</si>
  <si>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</si>
  <si>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</si>
  <si>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</si>
  <si>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</si>
  <si>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</si>
  <si>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</si>
  <si>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</si>
  <si>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</si>
  <si>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</si>
  <si>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</si>
  <si>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</si>
  <si>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</si>
  <si>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</si>
  <si>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</si>
  <si>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</si>
  <si>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</si>
  <si>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</si>
  <si>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</si>
  <si>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</si>
  <si>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</si>
  <si>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</si>
  <si>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</si>
  <si>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</si>
  <si>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</si>
  <si>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</si>
  <si>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</si>
  <si>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</si>
  <si>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</si>
  <si>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</si>
  <si>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</si>
  <si>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</si>
  <si>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</si>
  <si>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</si>
  <si>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</si>
  <si>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</si>
  <si>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</si>
  <si>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</si>
  <si>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</si>
  <si>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</si>
  <si>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</si>
  <si>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</si>
  <si>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</si>
  <si>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</si>
  <si>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</si>
  <si>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</si>
  <si>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</si>
  <si>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</si>
  <si>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</si>
  <si>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</si>
  <si>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</si>
  <si>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</si>
  <si>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</si>
  <si>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</si>
  <si>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</si>
  <si>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</si>
  <si>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</si>
  <si>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</si>
  <si>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</si>
  <si>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</si>
  <si>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</si>
  <si>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</si>
  <si>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</si>
  <si>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</si>
  <si>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</si>
  <si>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</si>
  <si>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</si>
  <si>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</si>
  <si>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</si>
  <si>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</si>
  <si>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</si>
  <si>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</si>
  <si>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</si>
  <si>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</si>
  <si>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</si>
  <si>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</si>
  <si>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</si>
  <si>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</si>
  <si>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</si>
  <si>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</si>
  <si>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</si>
  <si>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</si>
  <si>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</si>
  <si>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</si>
  <si>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</si>
  <si>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</si>
  <si>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</si>
  <si>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</si>
  <si>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</si>
  <si>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</si>
  <si>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</si>
  <si>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</si>
  <si>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</si>
  <si>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</si>
  <si>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</si>
  <si>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</si>
  <si>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</si>
  <si>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</si>
  <si>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</si>
  <si>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</si>
  <si>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</si>
  <si>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</si>
  <si>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</si>
  <si>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</si>
  <si>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</si>
  <si>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</si>
  <si>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</si>
  <si>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</si>
  <si>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</si>
  <si>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</si>
  <si>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</si>
  <si>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</si>
  <si>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</si>
  <si>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</si>
  <si>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</si>
  <si>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</si>
  <si>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</si>
  <si>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</si>
  <si>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</si>
  <si>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</si>
  <si>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</si>
  <si>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</si>
  <si>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</si>
  <si>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</si>
  <si>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</si>
  <si>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</si>
  <si>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</si>
  <si>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</si>
  <si>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</si>
  <si>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</si>
  <si>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</si>
  <si>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</si>
  <si>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</si>
  <si>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</si>
  <si>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</si>
  <si>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</si>
  <si>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</si>
  <si>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</si>
  <si>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</si>
  <si>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</si>
  <si>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</si>
  <si>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</si>
  <si>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</si>
  <si>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</si>
  <si>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</si>
  <si>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</si>
  <si>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</si>
  <si>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</si>
  <si>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</si>
  <si>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</si>
  <si>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</si>
  <si>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</si>
  <si>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</si>
  <si>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</si>
  <si>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</si>
  <si>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</si>
  <si>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</si>
  <si>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</si>
  <si>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</si>
  <si>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</si>
  <si>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</si>
  <si>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</si>
  <si>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</si>
  <si>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</si>
  <si>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</si>
  <si>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</si>
  <si>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</si>
  <si>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</si>
  <si>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</si>
  <si>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</si>
  <si>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</si>
  <si>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</si>
  <si>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</si>
  <si>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</si>
  <si>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</si>
  <si>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</si>
  <si>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</si>
  <si>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</si>
  <si>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</si>
  <si>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</si>
  <si>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</si>
  <si>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</si>
  <si>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</si>
  <si>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</si>
  <si>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</si>
  <si>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</si>
  <si>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</si>
  <si>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</si>
  <si>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</si>
  <si>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</si>
  <si>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</si>
  <si>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</si>
  <si>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</si>
  <si>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</si>
  <si>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</si>
  <si>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</si>
  <si>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</si>
  <si>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</si>
  <si>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</si>
  <si>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</si>
  <si>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</si>
  <si>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</si>
  <si>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</si>
  <si>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</si>
  <si>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</si>
  <si>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</si>
  <si>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</si>
  <si>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</si>
  <si>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</si>
  <si>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</si>
  <si>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</si>
  <si>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</si>
  <si>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</si>
  <si>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</si>
  <si>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</si>
  <si>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</si>
  <si>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</si>
  <si>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</si>
  <si>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</si>
  <si>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</si>
  <si>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</si>
  <si>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</si>
  <si>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</si>
  <si>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</si>
  <si>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</si>
  <si>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</si>
  <si>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</si>
  <si>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</si>
  <si>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</si>
  <si>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</si>
  <si>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</si>
  <si>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</si>
  <si>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</si>
  <si>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</si>
  <si>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</si>
  <si>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</si>
  <si>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</si>
  <si>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</si>
  <si>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</si>
  <si>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</si>
  <si>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</si>
  <si>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</si>
  <si>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</si>
  <si>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</si>
  <si>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</si>
  <si>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</si>
  <si>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</si>
  <si>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</si>
  <si>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</si>
  <si>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</si>
  <si>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</si>
  <si>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</si>
  <si>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</si>
  <si>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</si>
  <si>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</si>
  <si>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</si>
  <si>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</si>
  <si>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</si>
  <si>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</si>
  <si>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</si>
  <si>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</si>
  <si>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</si>
  <si>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</si>
  <si>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</si>
  <si>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</si>
  <si>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</si>
  <si>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</si>
  <si>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</si>
  <si>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</si>
  <si>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</si>
  <si>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</si>
  <si>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</si>
  <si>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</si>
  <si>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</si>
  <si>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</si>
  <si>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</si>
  <si>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</si>
  <si>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</si>
  <si>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</si>
  <si>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</si>
  <si>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</si>
  <si>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</si>
  <si>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</si>
  <si>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</si>
  <si>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</si>
  <si>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</si>
  <si>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</si>
  <si>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</si>
  <si>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</si>
  <si>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</si>
  <si>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</si>
  <si>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</si>
  <si>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</si>
  <si>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</si>
  <si>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</si>
  <si>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</si>
  <si>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</si>
  <si>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</si>
  <si>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</si>
  <si>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</si>
  <si>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</si>
  <si>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</si>
  <si>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</si>
  <si>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</si>
  <si>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</si>
  <si>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</si>
  <si>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</si>
  <si>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</si>
  <si>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</si>
  <si>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</si>
  <si>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</si>
  <si>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</si>
  <si>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</si>
  <si>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</si>
  <si>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</si>
  <si>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</si>
  <si>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</si>
  <si>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</si>
  <si>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</si>
  <si>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</si>
  <si>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</si>
  <si>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</si>
  <si>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</si>
  <si>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</si>
  <si>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</si>
  <si>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</si>
  <si>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</si>
  <si>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</si>
  <si>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</si>
  <si>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</si>
  <si>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</si>
  <si>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</si>
  <si>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</si>
  <si>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</si>
  <si>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</si>
  <si>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</si>
  <si>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</si>
  <si>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</si>
  <si>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</si>
  <si>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</si>
  <si>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</si>
  <si>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</si>
  <si>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</si>
  <si>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</si>
  <si>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</si>
  <si>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</si>
  <si>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</si>
  <si>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</si>
  <si>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</si>
  <si>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</si>
  <si>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</si>
  <si>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</si>
  <si>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</si>
  <si>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</si>
  <si>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</si>
  <si>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</si>
  <si>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</si>
  <si>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</si>
  <si>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</si>
  <si>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</si>
  <si>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</si>
  <si>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</si>
  <si>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</si>
  <si>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</si>
  <si>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</si>
  <si>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</si>
  <si>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</si>
  <si>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</si>
  <si>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</si>
  <si>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</si>
  <si>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</si>
  <si>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</si>
  <si>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</si>
  <si>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</si>
  <si>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</si>
  <si>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</si>
  <si>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</si>
  <si>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</si>
  <si>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</si>
  <si>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</si>
  <si>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</si>
  <si>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</si>
  <si>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</si>
  <si>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</si>
  <si>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</si>
  <si>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</si>
  <si>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</si>
  <si>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</si>
  <si>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</si>
  <si>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</si>
  <si>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</si>
  <si>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</si>
  <si>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</si>
  <si>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</si>
  <si>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</si>
  <si>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</si>
  <si>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</si>
  <si>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</si>
  <si>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</si>
  <si>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</si>
  <si>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</si>
  <si>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</si>
  <si>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</si>
  <si>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</si>
  <si>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</si>
  <si>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</si>
  <si>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</si>
  <si>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</si>
  <si>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</si>
  <si>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</si>
  <si>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</si>
  <si>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</si>
  <si>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</si>
  <si>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</si>
  <si>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</si>
  <si>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</si>
  <si>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</si>
  <si>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</si>
  <si>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</si>
  <si>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</si>
  <si>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</si>
  <si>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</si>
  <si>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</si>
  <si>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</si>
  <si>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</si>
  <si>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</si>
  <si>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</si>
  <si>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</si>
  <si>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</si>
  <si>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</si>
  <si>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</si>
  <si>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</si>
  <si>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</si>
  <si>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</si>
  <si>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</si>
  <si>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</si>
  <si>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</si>
  <si>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</si>
  <si>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</si>
  <si>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</si>
  <si>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</si>
  <si>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</si>
  <si>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</si>
  <si>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</si>
  <si>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</si>
  <si>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</si>
  <si>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</si>
  <si>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</si>
  <si>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</si>
  <si>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</si>
  <si>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</si>
  <si>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</si>
  <si>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</si>
  <si>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</si>
  <si>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</si>
  <si>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</si>
  <si>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</si>
  <si>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</si>
  <si>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</si>
  <si>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</si>
  <si>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</si>
  <si>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</si>
  <si>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</si>
  <si>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</si>
  <si>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</si>
  <si>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</si>
  <si>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</si>
  <si>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</si>
  <si>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</si>
  <si>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</si>
  <si>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</si>
  <si>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</si>
  <si>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</si>
  <si>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</si>
  <si>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</si>
  <si>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</si>
  <si>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</si>
  <si>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</si>
  <si>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</si>
  <si>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</si>
  <si>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</si>
  <si>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</si>
  <si>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</si>
  <si>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</si>
  <si>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</si>
  <si>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</si>
  <si>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</si>
  <si>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</si>
  <si>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</si>
  <si>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</si>
  <si>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</si>
  <si>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</si>
  <si>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</si>
  <si>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</si>
  <si>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</si>
  <si>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</si>
  <si>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</si>
  <si>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</si>
  <si>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</si>
  <si>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</si>
  <si>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</si>
  <si>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</si>
  <si>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</si>
  <si>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</si>
  <si>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</si>
  <si>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</si>
  <si>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</si>
  <si>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</si>
  <si>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</si>
  <si>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</si>
  <si>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</si>
  <si>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</si>
  <si>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</si>
  <si>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</si>
  <si>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</si>
  <si>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</si>
  <si>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</si>
  <si>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</si>
  <si>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</si>
  <si>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</si>
  <si>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</si>
  <si>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</si>
  <si>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</si>
  <si>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</si>
  <si>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</si>
  <si>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</si>
  <si>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</si>
  <si>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</si>
  <si>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</si>
  <si>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</si>
  <si>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</si>
  <si>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</si>
  <si>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</si>
  <si>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</si>
  <si>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</si>
  <si>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</si>
  <si>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</si>
  <si>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</si>
  <si>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</si>
  <si>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</si>
  <si>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</si>
  <si>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</si>
  <si>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</si>
  <si>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</si>
  <si>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</si>
  <si>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</si>
  <si>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</si>
  <si>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</si>
  <si>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</si>
  <si>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</si>
  <si>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</si>
  <si>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</si>
  <si>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</si>
  <si>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</si>
  <si>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</si>
  <si>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</si>
  <si>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</si>
  <si>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</si>
  <si>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</si>
  <si>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</si>
  <si>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</si>
  <si>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</si>
  <si>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</si>
  <si>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</si>
  <si>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</si>
  <si>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</si>
  <si>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</si>
  <si>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</si>
  <si>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</si>
  <si>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</si>
  <si>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</si>
  <si>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</si>
  <si>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</si>
  <si>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</si>
  <si>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</si>
  <si>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</si>
  <si>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</si>
  <si>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</si>
  <si>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</si>
  <si>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</si>
  <si>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</si>
  <si>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</si>
  <si>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</si>
  <si>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</si>
  <si>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</si>
  <si>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</si>
  <si>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</si>
  <si>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</si>
  <si>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</si>
  <si>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</si>
  <si>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</si>
  <si>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</si>
  <si>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</si>
  <si>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</si>
  <si>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</si>
  <si>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</si>
  <si>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</si>
  <si>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</si>
  <si>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</si>
  <si>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</si>
  <si>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</si>
  <si>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</si>
  <si>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</si>
  <si>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</si>
  <si>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</si>
  <si>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</si>
  <si>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</si>
  <si>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</si>
  <si>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</si>
  <si>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</si>
  <si>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</si>
  <si>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</si>
  <si>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</si>
  <si>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</si>
  <si>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</si>
  <si>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</si>
  <si>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</si>
  <si>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</si>
  <si>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</si>
  <si>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</si>
  <si>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</si>
  <si>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</si>
  <si>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</si>
  <si>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</si>
  <si>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</si>
  <si>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</si>
  <si>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</si>
  <si>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</si>
  <si>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</si>
  <si>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</si>
  <si>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</si>
  <si>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</si>
  <si>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</si>
  <si>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</si>
  <si>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</si>
  <si>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</si>
  <si>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</si>
  <si>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</si>
  <si>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</si>
  <si>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</si>
  <si>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</si>
  <si>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</si>
  <si>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</si>
  <si>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</si>
  <si>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</si>
  <si>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</si>
  <si>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</si>
  <si>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</si>
  <si>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</si>
  <si>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</si>
  <si>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</si>
  <si>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</si>
  <si>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</si>
  <si>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</si>
  <si>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</si>
  <si>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</si>
  <si>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</si>
  <si>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</si>
  <si>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</si>
  <si>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</si>
  <si>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</si>
  <si>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</si>
  <si>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</si>
  <si>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</si>
  <si>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</si>
  <si>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</si>
  <si>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</si>
  <si>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</si>
  <si>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</si>
  <si>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</si>
  <si>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</si>
  <si>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</si>
  <si>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</si>
  <si>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</si>
  <si>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</si>
  <si>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</si>
  <si>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</si>
  <si>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</si>
  <si>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</si>
  <si>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</si>
  <si>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</si>
  <si>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</si>
  <si>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</si>
  <si>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</si>
  <si>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</si>
  <si>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</si>
  <si>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</si>
  <si>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</si>
  <si>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</si>
  <si>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</si>
  <si>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</si>
  <si>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</si>
  <si>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</si>
  <si>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</si>
  <si>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</si>
  <si>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</si>
  <si>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</si>
  <si>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</si>
  <si>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</si>
  <si>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</si>
  <si>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</si>
  <si>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</si>
  <si>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</si>
  <si>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</si>
  <si>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</si>
  <si>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</si>
  <si>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</si>
  <si>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</si>
  <si>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</si>
  <si>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</si>
  <si>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</si>
  <si>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</si>
  <si>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</si>
  <si>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</si>
  <si>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</si>
  <si>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</si>
  <si>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</si>
  <si>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</si>
  <si>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</si>
  <si>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</si>
  <si>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</si>
  <si>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</si>
  <si>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</si>
  <si>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</si>
  <si>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</si>
  <si>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</si>
  <si>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</si>
  <si>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</si>
  <si>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</si>
  <si>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</si>
  <si>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</si>
  <si>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</si>
  <si>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</si>
  <si>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</si>
  <si>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</si>
  <si>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</si>
  <si>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</si>
  <si>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</si>
  <si>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</si>
  <si>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</si>
  <si>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</si>
  <si>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</si>
  <si>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</si>
  <si>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</si>
  <si>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</si>
  <si>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</si>
  <si>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</si>
  <si>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</si>
  <si>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</si>
  <si>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</si>
  <si>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</si>
  <si>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</si>
  <si>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</si>
  <si>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</si>
  <si>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</si>
  <si>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</si>
  <si>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</si>
  <si>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</si>
  <si>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</si>
  <si>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</si>
  <si>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</si>
  <si>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</si>
  <si>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</si>
  <si>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</si>
  <si>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</si>
  <si>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</si>
  <si>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</si>
  <si>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</si>
  <si>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</si>
  <si>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</si>
  <si>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</si>
  <si>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</si>
  <si>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</si>
  <si>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</si>
  <si>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</si>
  <si>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</si>
  <si>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</si>
  <si>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</si>
  <si>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</si>
  <si>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</si>
  <si>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</si>
  <si>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</si>
  <si>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</si>
  <si>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</si>
  <si>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</si>
  <si>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</si>
  <si>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</si>
  <si>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</si>
  <si>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</si>
  <si>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</si>
  <si>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</si>
  <si>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</si>
  <si>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</si>
  <si>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</si>
  <si>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</si>
  <si>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</si>
  <si>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</si>
  <si>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</si>
  <si>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</si>
  <si>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</si>
  <si>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</si>
  <si>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</si>
  <si>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</si>
  <si>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</si>
  <si>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</si>
  <si>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</si>
  <si>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</si>
  <si>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</si>
  <si>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</si>
  <si>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</si>
  <si>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</si>
  <si>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</si>
  <si>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</si>
  <si>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</si>
  <si>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</si>
  <si>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</si>
  <si>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</si>
  <si>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</si>
  <si>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</si>
  <si>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</si>
  <si>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</si>
  <si>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</si>
  <si>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</si>
  <si>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</si>
  <si>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</si>
  <si>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</si>
  <si>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</si>
  <si>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</si>
  <si>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</si>
  <si>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</si>
  <si>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</si>
  <si>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</si>
  <si>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</si>
  <si>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</si>
  <si>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</si>
  <si>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</si>
  <si>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</si>
  <si>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</si>
  <si>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</si>
  <si>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</si>
  <si>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</si>
  <si>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</si>
  <si>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</si>
  <si>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</si>
  <si>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</si>
  <si>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</si>
  <si>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</si>
  <si>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</si>
  <si>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</si>
  <si>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</si>
  <si>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</si>
  <si>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</si>
  <si>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</si>
  <si>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</si>
  <si>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</si>
  <si>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</si>
  <si>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</si>
  <si>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</si>
  <si>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</si>
  <si>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</si>
  <si>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</si>
  <si>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</si>
  <si>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</si>
  <si>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</si>
  <si>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</si>
  <si>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</si>
  <si>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</si>
  <si>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</si>
  <si>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</si>
  <si>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</si>
  <si>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</si>
  <si>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</si>
  <si>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</si>
  <si>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</si>
  <si>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</si>
  <si>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</si>
  <si>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</si>
  <si>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</si>
  <si>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</si>
  <si>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</si>
  <si>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</si>
  <si>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</si>
  <si>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</si>
  <si>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</si>
  <si>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</si>
  <si>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</si>
  <si>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</si>
  <si>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</si>
  <si>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</si>
  <si>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</si>
  <si>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</si>
  <si>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</si>
  <si>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</si>
  <si>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</si>
  <si>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</si>
  <si>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</si>
  <si>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</si>
  <si>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</si>
  <si>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</si>
  <si>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</si>
  <si>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</si>
  <si>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</si>
  <si>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</si>
  <si>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</si>
  <si>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</si>
  <si>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</si>
  <si>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</si>
  <si>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</si>
  <si>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</si>
  <si>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</si>
  <si>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</si>
  <si>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</si>
  <si>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</si>
  <si>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</si>
  <si>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</si>
  <si>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</si>
  <si>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</si>
  <si>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</si>
  <si>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</si>
  <si>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</si>
  <si>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</si>
  <si>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</si>
  <si>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</si>
  <si>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</si>
  <si>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</si>
  <si>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</si>
  <si>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</si>
  <si>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</si>
  <si>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</si>
  <si>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</si>
  <si>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</si>
  <si>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</si>
  <si>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</si>
  <si>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</si>
  <si>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</si>
  <si>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</si>
  <si>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</si>
  <si>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</si>
  <si>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</si>
  <si>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</si>
  <si>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</si>
  <si>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</si>
  <si>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</si>
  <si>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</si>
  <si>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</si>
  <si>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</si>
  <si>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</si>
  <si>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</si>
  <si>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</si>
  <si>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</si>
  <si>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</si>
  <si>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</si>
  <si>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</si>
  <si>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</si>
  <si>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</si>
  <si>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</si>
  <si>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</si>
  <si>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</si>
  <si>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</si>
  <si>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</si>
  <si>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</si>
  <si>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</si>
  <si>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</si>
  <si>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</si>
  <si>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</si>
  <si>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</si>
  <si>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</si>
  <si>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</si>
  <si>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</si>
  <si>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</si>
  <si>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</si>
  <si>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</si>
  <si>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</si>
  <si>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</si>
  <si>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</si>
  <si>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</si>
  <si>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</si>
  <si>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</si>
  <si>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</si>
  <si>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</si>
  <si>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</si>
  <si>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</si>
  <si>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</si>
  <si>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</si>
  <si>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</si>
  <si>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</si>
  <si>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</si>
  <si>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</si>
  <si>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</si>
  <si>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</si>
  <si>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</si>
  <si>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</si>
  <si>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</si>
  <si>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</si>
  <si>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</si>
  <si>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</si>
  <si>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</si>
  <si>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</si>
  <si>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</si>
  <si>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</si>
  <si>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</si>
  <si>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</si>
  <si>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</si>
  <si>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</si>
  <si>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</si>
  <si>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</si>
  <si>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</si>
  <si>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</si>
  <si>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</si>
  <si>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</si>
  <si>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</si>
  <si>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</si>
  <si>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</si>
  <si>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</si>
  <si>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</si>
  <si>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</si>
  <si>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</si>
  <si>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</si>
  <si>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</si>
  <si>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</si>
  <si>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</si>
  <si>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</si>
  <si>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</si>
  <si>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</si>
  <si>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</si>
  <si>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</si>
  <si>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</si>
  <si>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</si>
  <si>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</si>
  <si>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</si>
  <si>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</si>
  <si>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</si>
  <si>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</si>
  <si>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</si>
  <si>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</si>
  <si>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</si>
  <si>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</si>
  <si>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</si>
  <si>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</si>
  <si>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</si>
  <si>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</si>
  <si>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</si>
  <si>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</si>
  <si>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</si>
  <si>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</si>
  <si>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</si>
  <si>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</si>
  <si>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</si>
  <si>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</si>
  <si>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</si>
  <si>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</si>
  <si>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</si>
  <si>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</si>
  <si>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</si>
  <si>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</si>
  <si>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</si>
  <si>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</si>
  <si>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</si>
  <si>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</si>
  <si>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</si>
  <si>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</si>
  <si>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</si>
  <si>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</si>
  <si>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</si>
  <si>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</si>
  <si>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</si>
  <si>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</si>
  <si>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</si>
  <si>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</si>
  <si>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</si>
  <si>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</si>
  <si>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</si>
  <si>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</si>
  <si>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</si>
  <si>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</si>
  <si>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</si>
  <si>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</si>
  <si>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</si>
  <si>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</si>
  <si>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</si>
  <si>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</si>
  <si>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</si>
  <si>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</si>
  <si>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</si>
  <si>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</si>
  <si>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</si>
  <si>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</si>
  <si>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</si>
  <si>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</si>
  <si>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</si>
  <si>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</si>
  <si>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</si>
  <si>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</si>
  <si>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</si>
  <si>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</si>
  <si>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</si>
  <si>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</si>
  <si>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</si>
  <si>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</si>
  <si>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</si>
  <si>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</si>
  <si>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</si>
  <si>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</si>
  <si>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</si>
  <si>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</si>
  <si>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</si>
  <si>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</si>
  <si>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</si>
  <si>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</si>
  <si>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</si>
  <si>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</si>
  <si>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</si>
  <si>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</si>
  <si>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</si>
  <si>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</si>
  <si>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</si>
  <si>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</si>
  <si>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</si>
  <si>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</si>
  <si>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</si>
  <si>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</si>
  <si>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</si>
  <si>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</si>
  <si>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</si>
  <si>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</si>
  <si>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</si>
  <si>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</si>
  <si>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</si>
  <si>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</si>
  <si>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</si>
  <si>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</si>
  <si>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</si>
  <si>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</si>
  <si>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</si>
  <si>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</si>
  <si>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</si>
  <si>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</si>
  <si>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</si>
  <si>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</si>
  <si>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</si>
  <si>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</si>
  <si>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</si>
  <si>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</si>
  <si>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</si>
  <si>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</si>
  <si>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</si>
  <si>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</si>
  <si>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</si>
  <si>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</si>
  <si>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</si>
  <si>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</si>
  <si>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</si>
  <si>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</si>
  <si>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</si>
  <si>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</si>
  <si>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</si>
  <si>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</si>
  <si>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</si>
  <si>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</si>
  <si>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</si>
  <si>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</si>
  <si>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</si>
  <si>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</si>
  <si>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</si>
  <si>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</si>
  <si>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</si>
  <si>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</si>
  <si>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</si>
  <si>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</si>
  <si>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</si>
  <si>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</si>
  <si>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</si>
  <si>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</si>
  <si>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</si>
  <si>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</si>
  <si>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</si>
  <si>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</si>
  <si>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</si>
  <si>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</si>
  <si>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</si>
  <si>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</si>
  <si>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</si>
  <si>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</si>
  <si>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</si>
  <si>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</si>
  <si>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</si>
  <si>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</si>
  <si>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</si>
  <si>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</si>
  <si>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</si>
  <si>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</si>
  <si>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</si>
  <si>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</si>
  <si>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</si>
  <si>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</si>
  <si>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</si>
  <si>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</si>
  <si>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</si>
  <si>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</si>
  <si>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</si>
  <si>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</si>
  <si>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</si>
  <si>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</si>
  <si>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</si>
  <si>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</si>
  <si>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</si>
  <si>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</si>
  <si>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</si>
  <si>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</si>
  <si>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</si>
  <si>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</si>
  <si>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</si>
  <si>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</si>
  <si>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</si>
  <si>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</si>
  <si>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</si>
  <si>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</si>
  <si>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</si>
  <si>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</si>
  <si>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</si>
  <si>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</si>
  <si>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</si>
  <si>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</si>
  <si>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</si>
  <si>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</si>
  <si>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</si>
  <si>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</si>
  <si>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</si>
  <si>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</si>
  <si>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</si>
  <si>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</si>
  <si>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</si>
  <si>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</si>
  <si>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</si>
  <si>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</si>
  <si>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</si>
  <si>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</si>
  <si>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</si>
  <si>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</si>
  <si>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</si>
  <si>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</si>
  <si>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</si>
  <si>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</si>
  <si>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</si>
  <si>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</si>
  <si>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</si>
  <si>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</si>
  <si>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</si>
  <si>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</si>
  <si>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</si>
  <si>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</si>
  <si>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</si>
  <si>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</si>
  <si>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</si>
  <si>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</si>
  <si>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</si>
  <si>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</si>
  <si>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</si>
  <si>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</si>
  <si>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</si>
  <si>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</si>
  <si>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</si>
  <si>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</si>
  <si>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</si>
  <si>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</si>
  <si>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</si>
  <si>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</si>
  <si>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</si>
  <si>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</si>
  <si>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</si>
  <si>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</si>
  <si>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</si>
  <si>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</si>
  <si>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</si>
  <si>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</si>
  <si>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</si>
  <si>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</si>
  <si>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</si>
  <si>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</si>
  <si>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</si>
  <si>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</si>
  <si>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</si>
  <si>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</si>
  <si>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</si>
  <si>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</si>
  <si>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</si>
  <si>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</si>
  <si>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</si>
  <si>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</si>
  <si>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</si>
  <si>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</si>
  <si>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</si>
  <si>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</si>
  <si>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</si>
  <si>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</si>
  <si>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</si>
  <si>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</si>
  <si>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</si>
  <si>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</si>
  <si>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</si>
  <si>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</si>
  <si>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</si>
  <si>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</si>
  <si>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</si>
  <si>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</si>
  <si>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</si>
  <si>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</si>
  <si>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</si>
  <si>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</si>
  <si>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</si>
  <si>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</si>
  <si>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</si>
  <si>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</si>
  <si>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</si>
  <si>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</si>
  <si>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</si>
  <si>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</si>
  <si>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</si>
  <si>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</si>
  <si>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</si>
  <si>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</si>
  <si>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</si>
  <si>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</si>
  <si>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</si>
  <si>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</si>
  <si>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</si>
  <si>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</si>
  <si>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</si>
  <si>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</si>
  <si>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</si>
  <si>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</si>
  <si>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</si>
  <si>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</si>
  <si>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</si>
  <si>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</si>
  <si>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</si>
  <si>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</si>
  <si>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</si>
  <si>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</si>
  <si>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</si>
  <si>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</si>
  <si>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</si>
  <si>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</si>
  <si>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</si>
  <si>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</si>
  <si>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</si>
  <si>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</si>
  <si>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</si>
  <si>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</si>
  <si>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</si>
  <si>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</si>
  <si>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</si>
  <si>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</si>
  <si>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</si>
  <si>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</si>
  <si>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</si>
  <si>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</si>
  <si>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</si>
  <si>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</si>
  <si>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</si>
  <si>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</si>
  <si>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</si>
  <si>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</si>
  <si>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</si>
  <si>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</si>
  <si>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</si>
  <si>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</si>
  <si>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</si>
  <si>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</si>
  <si>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</si>
  <si>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</si>
  <si>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</si>
  <si>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</si>
  <si>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</si>
  <si>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</si>
  <si>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</si>
  <si>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</si>
  <si>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</si>
  <si>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</si>
  <si>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</si>
  <si>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</si>
  <si>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</si>
  <si>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</si>
  <si>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</si>
  <si>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</si>
  <si>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</si>
  <si>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</si>
  <si>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</si>
  <si>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</si>
  <si>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</si>
  <si>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</si>
  <si>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</si>
  <si>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</si>
  <si>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</si>
  <si>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</si>
  <si>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</si>
  <si>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</si>
  <si>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</si>
  <si>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</si>
  <si>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</si>
  <si>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</si>
  <si>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</si>
  <si>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</si>
  <si>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</si>
  <si>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</si>
  <si>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</si>
  <si>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</si>
  <si>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</si>
  <si>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</si>
  <si>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</si>
  <si>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</si>
  <si>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</si>
  <si>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</si>
  <si>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</si>
  <si>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</si>
  <si>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</si>
  <si>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</si>
  <si>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</si>
  <si>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</si>
  <si>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</si>
  <si>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</si>
  <si>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</si>
  <si>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</si>
  <si>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</si>
  <si>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</si>
  <si>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</si>
  <si>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</si>
  <si>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</si>
  <si>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</si>
  <si>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</si>
  <si>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</si>
  <si>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</si>
  <si>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</si>
  <si>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</si>
  <si>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</si>
  <si>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</si>
  <si>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</si>
  <si>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</si>
  <si>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</si>
  <si>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</si>
  <si>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</si>
  <si>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</si>
  <si>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</si>
  <si>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</si>
  <si>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</si>
  <si>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</si>
  <si>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</si>
  <si>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</si>
  <si>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</si>
  <si>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</si>
  <si>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</si>
  <si>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</si>
  <si>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</si>
  <si>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</si>
  <si>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</si>
  <si>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</si>
  <si>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</si>
  <si>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</si>
  <si>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</si>
  <si>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</si>
  <si>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</si>
  <si>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</si>
  <si>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</si>
  <si>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</si>
  <si>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</si>
  <si>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</si>
  <si>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</si>
  <si>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</si>
  <si>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</si>
  <si>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</si>
  <si>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</si>
  <si>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</si>
  <si>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</si>
  <si>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</si>
  <si>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</si>
  <si>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</si>
  <si>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</si>
  <si>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</si>
  <si>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</si>
  <si>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</si>
  <si>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</si>
  <si>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</si>
  <si>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</si>
  <si>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</si>
  <si>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</si>
  <si>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</si>
  <si>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</si>
  <si>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</si>
  <si>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</si>
  <si>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</si>
  <si>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</si>
  <si>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</si>
  <si>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</si>
  <si>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</si>
  <si>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</si>
  <si>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</si>
  <si>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</si>
  <si>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</si>
  <si>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</si>
  <si>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</si>
  <si>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</si>
  <si>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</si>
  <si>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</si>
  <si>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</si>
  <si>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</si>
  <si>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</si>
  <si>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</si>
  <si>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</si>
  <si>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</si>
  <si>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</si>
  <si>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</si>
  <si>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</si>
  <si>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</si>
  <si>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</si>
  <si>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</si>
  <si>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</si>
  <si>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</si>
  <si>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</si>
  <si>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</si>
  <si>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</si>
  <si>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</si>
  <si>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</si>
  <si>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</si>
  <si>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</si>
  <si>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</si>
  <si>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</si>
  <si>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</si>
  <si>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</si>
  <si>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</si>
  <si>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</si>
  <si>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</si>
  <si>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</si>
  <si>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</si>
  <si>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</si>
  <si>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</si>
  <si>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</si>
  <si>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</si>
  <si>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</si>
  <si>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</si>
  <si>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</si>
  <si>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</si>
  <si>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</si>
  <si>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</si>
  <si>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</si>
  <si>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</si>
  <si>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</si>
  <si>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</si>
  <si>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</si>
  <si>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</si>
  <si>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</si>
  <si>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</si>
  <si>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</si>
  <si>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</si>
  <si>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</si>
  <si>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</si>
  <si>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</si>
  <si>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</si>
  <si>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</si>
  <si>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</si>
  <si>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</si>
  <si>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</si>
  <si>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</si>
  <si>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</si>
  <si>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</si>
  <si>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</si>
  <si>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</si>
  <si>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</si>
  <si>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</si>
  <si>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</si>
  <si>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</si>
  <si>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</si>
  <si>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</si>
  <si>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</si>
  <si>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</si>
  <si>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</si>
  <si>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</si>
  <si>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</si>
  <si>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</si>
  <si>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</si>
  <si>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</si>
  <si>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</si>
  <si>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</si>
  <si>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</si>
  <si>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</si>
  <si>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</si>
  <si>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</si>
  <si>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</si>
  <si>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</si>
  <si>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</si>
  <si>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</si>
  <si>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</si>
  <si>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</si>
  <si>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</si>
  <si>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</si>
  <si>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</si>
  <si>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</si>
  <si>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</si>
  <si>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</si>
  <si>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</si>
  <si>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</si>
  <si>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</si>
  <si>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</si>
  <si>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</si>
  <si>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</si>
  <si>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</si>
  <si>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</si>
  <si>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</si>
  <si>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</si>
  <si>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</si>
  <si>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</si>
  <si>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</si>
  <si>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</si>
  <si>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</si>
  <si>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</si>
  <si>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</si>
  <si>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</si>
  <si>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</si>
  <si>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</si>
  <si>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</si>
  <si>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</si>
  <si>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</si>
  <si>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</si>
  <si>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</si>
  <si>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</si>
  <si>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</si>
  <si>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</si>
  <si>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</si>
  <si>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</si>
  <si>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</si>
  <si>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</si>
  <si>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</si>
  <si>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</si>
  <si>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</si>
  <si>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</si>
  <si>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</si>
  <si>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</si>
  <si>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</si>
  <si>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</si>
  <si>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</si>
  <si>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</si>
  <si>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</si>
  <si>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</si>
  <si>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</si>
  <si>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</si>
  <si>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</si>
  <si>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</si>
  <si>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</si>
  <si>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</si>
  <si>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</si>
  <si>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</si>
  <si>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</si>
  <si>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</si>
  <si>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</si>
  <si>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</si>
  <si>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</si>
  <si>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</si>
  <si>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</si>
  <si>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</si>
  <si>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</si>
  <si>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</si>
  <si>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</si>
  <si>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</si>
  <si>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</si>
  <si>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</si>
  <si>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</si>
  <si>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</si>
  <si>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</si>
  <si>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</si>
  <si>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</si>
  <si>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</si>
  <si>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</si>
  <si>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</si>
  <si>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</si>
  <si>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</si>
  <si>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</si>
  <si>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</si>
  <si>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</si>
  <si>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</si>
  <si>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</si>
  <si>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</si>
  <si>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</si>
  <si>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</si>
  <si>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</si>
  <si>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</si>
  <si>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</si>
  <si>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</si>
  <si>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</si>
  <si>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</si>
  <si>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</si>
  <si>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</si>
  <si>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</si>
  <si>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</si>
  <si>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</si>
  <si>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</si>
  <si>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</si>
  <si>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</si>
  <si>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</si>
  <si>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</si>
  <si>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</si>
  <si>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</si>
  <si>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</si>
  <si>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</si>
  <si>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</si>
  <si>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</si>
  <si>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</si>
  <si>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</si>
  <si>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</si>
  <si>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</si>
  <si>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</si>
  <si>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</si>
  <si>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</si>
  <si>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</si>
  <si>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</si>
  <si>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</si>
  <si>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</si>
  <si>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</si>
  <si>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</si>
  <si>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</si>
  <si>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</si>
  <si>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</si>
  <si>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</si>
  <si>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</si>
  <si>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</si>
  <si>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</si>
  <si>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</si>
  <si>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</si>
  <si>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</si>
  <si>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</si>
  <si>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</si>
  <si>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</si>
  <si>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</si>
  <si>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</si>
  <si>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</si>
  <si>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</si>
  <si>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</si>
  <si>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</si>
  <si>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</si>
  <si>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</si>
  <si>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</si>
  <si>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</si>
  <si>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</si>
  <si>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</si>
  <si>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</si>
  <si>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</si>
  <si>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</si>
  <si>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</si>
  <si>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</si>
  <si>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</si>
  <si>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</si>
  <si>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</si>
  <si>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</si>
  <si>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</si>
  <si>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</si>
  <si>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</si>
  <si>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</si>
  <si>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</si>
  <si>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</si>
  <si>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</si>
  <si>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</si>
  <si>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</si>
  <si>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</si>
  <si>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</si>
  <si>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</si>
  <si>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</si>
  <si>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</si>
  <si>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</si>
  <si>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</si>
  <si>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</si>
  <si>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</si>
  <si>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</si>
  <si>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</si>
  <si>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</si>
  <si>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</si>
  <si>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</si>
  <si>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</si>
  <si>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</si>
  <si>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</si>
  <si>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</si>
  <si>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</si>
  <si>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</si>
  <si>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</si>
  <si>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</si>
  <si>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</si>
  <si>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</si>
  <si>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</si>
  <si>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</si>
  <si>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</si>
  <si>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</si>
  <si>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</si>
  <si>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</si>
  <si>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</si>
  <si>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</si>
  <si>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</si>
  <si>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</si>
  <si>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</si>
  <si>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</si>
  <si>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</si>
  <si>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</si>
  <si>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</si>
  <si>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</si>
  <si>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</si>
  <si>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</si>
  <si>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</si>
  <si>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</si>
  <si>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</si>
  <si>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</si>
  <si>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</si>
  <si>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</si>
  <si>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</si>
  <si>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</si>
  <si>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</si>
  <si>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</si>
  <si>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</si>
  <si>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</si>
  <si>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</si>
  <si>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</si>
  <si>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</si>
  <si>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</si>
  <si>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</si>
  <si>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</si>
  <si>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</si>
  <si>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</si>
  <si>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</si>
  <si>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</si>
  <si>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</si>
  <si>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</si>
  <si>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</si>
  <si>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</si>
  <si>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</si>
  <si>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</si>
  <si>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</si>
  <si>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</si>
  <si>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</si>
  <si>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</si>
  <si>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</si>
  <si>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</si>
  <si>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</si>
  <si>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</si>
  <si>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</si>
  <si>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</si>
  <si>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</si>
  <si>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</si>
  <si>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</si>
  <si>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</si>
  <si>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</si>
  <si>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</si>
  <si>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</si>
  <si>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</si>
  <si>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</si>
  <si>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</si>
  <si>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</si>
  <si>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</si>
  <si>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</si>
  <si>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</si>
  <si>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</si>
  <si>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</si>
  <si>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</si>
  <si>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</si>
  <si>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</si>
  <si>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</si>
  <si>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</si>
  <si>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</si>
  <si>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</si>
  <si>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</si>
  <si>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</si>
  <si>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</si>
  <si>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</si>
  <si>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</si>
  <si>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</si>
  <si>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</si>
  <si>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</si>
  <si>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</si>
  <si>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</si>
  <si>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</si>
  <si>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</si>
  <si>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</si>
  <si>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</si>
  <si>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</si>
  <si>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</si>
  <si>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</si>
  <si>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</si>
  <si>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</si>
  <si>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</si>
  <si>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</si>
  <si>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</si>
  <si>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</si>
  <si>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</si>
  <si>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</si>
  <si>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</si>
  <si>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</si>
  <si>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</si>
  <si>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</si>
  <si>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</si>
  <si>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</si>
  <si>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</si>
  <si>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</si>
  <si>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</si>
  <si>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</si>
  <si>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</si>
  <si>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</si>
  <si>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</si>
  <si>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</si>
  <si>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</si>
  <si>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</si>
  <si>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</si>
  <si>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</si>
  <si>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</si>
  <si>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</si>
  <si>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</si>
  <si>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</si>
  <si>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</si>
  <si>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</si>
  <si>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</si>
  <si>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</si>
  <si>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</si>
  <si>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</si>
  <si>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</si>
  <si>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</si>
  <si>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</si>
  <si>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</si>
  <si>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</si>
  <si>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</si>
  <si>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</si>
  <si>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</si>
  <si>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</si>
  <si>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</si>
  <si>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</si>
  <si>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</si>
  <si>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</si>
  <si>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</si>
  <si>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</si>
  <si>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</si>
  <si>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</si>
  <si>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</si>
  <si>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</si>
  <si>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</si>
  <si>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</si>
  <si>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</si>
  <si>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</si>
  <si>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</si>
  <si>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</si>
  <si>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</si>
  <si>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</si>
  <si>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</si>
  <si>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</si>
  <si>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</si>
  <si>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</si>
  <si>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</si>
  <si>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</si>
  <si>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</si>
  <si>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</si>
  <si>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</si>
  <si>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</si>
  <si>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</si>
  <si>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</si>
  <si>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</si>
  <si>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</si>
  <si>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</si>
  <si>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</si>
  <si>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</si>
  <si>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</si>
  <si>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</si>
  <si>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</si>
  <si>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</si>
  <si>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</si>
  <si>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</si>
  <si>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</si>
  <si>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</si>
  <si>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</si>
  <si>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</si>
  <si>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</si>
  <si>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</si>
  <si>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</si>
  <si>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</si>
  <si>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</si>
  <si>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</si>
  <si>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</si>
  <si>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</si>
  <si>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</si>
  <si>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</si>
  <si>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</si>
  <si>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</si>
  <si>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</si>
  <si>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</si>
  <si>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</si>
  <si>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</si>
  <si>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</si>
  <si>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</si>
  <si>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</si>
  <si>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</si>
  <si>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</si>
  <si>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</si>
  <si>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</si>
  <si>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</si>
  <si>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</si>
  <si>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</si>
  <si>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</si>
  <si>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</si>
  <si>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</si>
  <si>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</si>
  <si>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</si>
  <si>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</si>
  <si>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</si>
  <si>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</si>
  <si>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</si>
  <si>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</si>
  <si>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</si>
  <si>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</si>
  <si>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</si>
  <si>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</si>
  <si>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</si>
  <si>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</si>
  <si>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</si>
  <si>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</si>
  <si>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</si>
  <si>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</si>
  <si>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</si>
  <si>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</si>
  <si>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</si>
  <si>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</si>
  <si>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</si>
  <si>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</si>
  <si>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</si>
  <si>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</si>
  <si>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</si>
  <si>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</si>
  <si>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</si>
  <si>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</si>
  <si>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</si>
  <si>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</si>
  <si>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</si>
  <si>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</si>
  <si>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</si>
  <si>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</si>
  <si>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</si>
  <si>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</si>
  <si>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</si>
  <si>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</si>
  <si>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</si>
  <si>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</si>
  <si>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</si>
  <si>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</si>
  <si>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</si>
  <si>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</si>
  <si>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</si>
  <si>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</si>
  <si>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</si>
  <si>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</si>
  <si>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</si>
  <si>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</si>
  <si>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</si>
  <si>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</si>
  <si>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</si>
  <si>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</si>
  <si>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</si>
  <si>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</si>
  <si>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</si>
  <si>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</si>
  <si>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</si>
  <si>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</si>
  <si>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</si>
  <si>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</si>
  <si>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</si>
  <si>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</si>
  <si>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</si>
  <si>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</si>
  <si>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</si>
  <si>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</si>
  <si>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</si>
  <si>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</si>
  <si>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</si>
  <si>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</si>
  <si>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</si>
  <si>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</si>
  <si>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</si>
  <si>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</si>
  <si>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</si>
  <si>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</si>
  <si>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</si>
  <si>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</si>
  <si>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</si>
  <si>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</si>
  <si>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</si>
  <si>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</si>
  <si>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</si>
  <si>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</si>
  <si>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</si>
  <si>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</si>
  <si>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</si>
  <si>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</si>
  <si>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</si>
  <si>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</si>
  <si>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</si>
  <si>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</si>
  <si>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</si>
  <si>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</si>
  <si>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</si>
  <si>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</si>
  <si>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</si>
  <si>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</si>
  <si>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</si>
  <si>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</si>
  <si>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</si>
  <si>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</si>
  <si>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</si>
  <si>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</si>
  <si>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</si>
  <si>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</si>
  <si>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</si>
  <si>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</si>
  <si>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</si>
  <si>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</si>
  <si>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</si>
  <si>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</si>
  <si>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</si>
  <si>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</si>
  <si>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</si>
  <si>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</si>
  <si>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</si>
  <si>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</si>
  <si>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</si>
  <si>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</si>
  <si>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</si>
  <si>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</si>
  <si>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</si>
  <si>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</si>
  <si>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</si>
  <si>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</si>
  <si>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</si>
  <si>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</si>
  <si>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</si>
  <si>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</si>
  <si>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</si>
  <si>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</si>
  <si>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</si>
  <si>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</si>
  <si>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</si>
  <si>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</si>
  <si>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</si>
  <si>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</si>
  <si>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</si>
  <si>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</si>
  <si>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</si>
  <si>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</si>
  <si>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</si>
  <si>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</si>
  <si>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</si>
  <si>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</si>
  <si>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</si>
  <si>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</si>
  <si>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</si>
  <si>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</si>
  <si>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</si>
  <si>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</si>
  <si>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</si>
  <si>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</si>
  <si>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</si>
  <si>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</si>
  <si>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</si>
  <si>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</si>
  <si>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</si>
  <si>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</si>
  <si>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</si>
  <si>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</si>
  <si>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</si>
  <si>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</si>
  <si>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</si>
  <si>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</si>
  <si>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</si>
  <si>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</si>
  <si>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</si>
  <si>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</si>
  <si>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</si>
  <si>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</si>
  <si>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</si>
  <si>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</si>
  <si>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</si>
  <si>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</si>
  <si>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</si>
  <si>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</si>
  <si>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</si>
  <si>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</si>
  <si>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</si>
  <si>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</si>
  <si>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</si>
  <si>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</si>
  <si>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</si>
  <si>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</si>
  <si>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</si>
  <si>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</si>
  <si>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</si>
  <si>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</si>
  <si>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</si>
  <si>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</si>
  <si>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</si>
  <si>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</si>
  <si>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</si>
  <si>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</si>
  <si>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</si>
  <si>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</si>
  <si>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</si>
  <si>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</si>
  <si>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</si>
  <si>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</si>
  <si>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</si>
  <si>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</si>
  <si>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</si>
  <si>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</si>
  <si>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</si>
  <si>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</si>
  <si>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</si>
  <si>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</si>
  <si>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</si>
  <si>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</si>
  <si>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</si>
  <si>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</si>
  <si>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</si>
  <si>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</si>
  <si>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</si>
  <si>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</si>
  <si>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</si>
  <si>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</si>
  <si>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</si>
  <si>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</si>
  <si>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</si>
  <si>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</si>
  <si>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</si>
  <si>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</si>
  <si>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</si>
  <si>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</si>
  <si>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</si>
  <si>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</si>
  <si>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</si>
  <si>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</si>
  <si>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</si>
  <si>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</si>
  <si>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</si>
  <si>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</si>
  <si>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</si>
  <si>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</si>
  <si>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</si>
  <si>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</si>
  <si>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</si>
  <si>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</si>
  <si>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</si>
  <si>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</si>
  <si>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</si>
  <si>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</si>
  <si>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</si>
  <si>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</si>
  <si>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</si>
  <si>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</si>
  <si>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</si>
  <si>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</si>
  <si>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</si>
  <si>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</si>
  <si>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</si>
  <si>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</si>
  <si>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</si>
  <si>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</si>
  <si>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</si>
  <si>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</si>
  <si>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</si>
  <si>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</si>
  <si>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</si>
  <si>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</si>
  <si>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</si>
  <si>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</si>
  <si>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</si>
  <si>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</si>
  <si>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</si>
  <si>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</si>
  <si>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</si>
  <si>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</si>
  <si>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</si>
  <si>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</si>
  <si>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</si>
  <si>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</si>
  <si>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</si>
  <si>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</si>
  <si>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</si>
  <si>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</si>
  <si>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</si>
  <si>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</si>
  <si>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</si>
  <si>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</si>
  <si>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</si>
  <si>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</si>
  <si>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</si>
  <si>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</si>
  <si>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</si>
  <si>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</si>
  <si>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</si>
  <si>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</si>
  <si>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</si>
  <si>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</si>
  <si>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</si>
  <si>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</si>
  <si>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</si>
  <si>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</si>
  <si>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</si>
  <si>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</si>
  <si>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</si>
  <si>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</si>
  <si>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</si>
  <si>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</si>
  <si>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</si>
  <si>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</si>
  <si>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</si>
  <si>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</si>
  <si>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</si>
  <si>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</si>
  <si>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</si>
  <si>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</si>
  <si>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</si>
  <si>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</si>
  <si>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</si>
  <si>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</si>
  <si>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</si>
  <si>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</si>
  <si>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</si>
  <si>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</si>
  <si>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</si>
  <si>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</si>
  <si>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</si>
  <si>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</si>
  <si>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</si>
  <si>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</si>
  <si>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</si>
  <si>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</si>
  <si>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</si>
  <si>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</si>
  <si>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</si>
  <si>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</si>
  <si>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</si>
  <si>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</si>
  <si>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</si>
  <si>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</si>
  <si>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</si>
  <si>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</si>
  <si>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</si>
  <si>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</si>
  <si>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</si>
  <si>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</si>
  <si>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</si>
  <si>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</si>
  <si>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</si>
  <si>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</si>
  <si>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</si>
  <si>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</si>
  <si>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</si>
  <si>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</si>
  <si>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</si>
  <si>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</si>
  <si>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</si>
  <si>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</si>
  <si>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</si>
  <si>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</si>
  <si>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</si>
  <si>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</si>
  <si>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</si>
  <si>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</si>
  <si>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</si>
  <si>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</si>
  <si>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</si>
  <si>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</si>
  <si>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</si>
  <si>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</si>
  <si>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</si>
  <si>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</si>
  <si>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</si>
  <si>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</si>
  <si>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</si>
  <si>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</si>
  <si>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</si>
  <si>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</si>
  <si>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</si>
  <si>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</si>
  <si>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</si>
  <si>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</si>
  <si>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</si>
  <si>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</si>
  <si>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</si>
  <si>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</si>
  <si>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</si>
  <si>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</si>
  <si>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</si>
  <si>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</si>
  <si>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</si>
  <si>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</si>
  <si>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</si>
  <si>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</si>
  <si>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</si>
  <si>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</si>
  <si>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</si>
  <si>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</si>
  <si>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</si>
  <si>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</si>
  <si>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</si>
  <si>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</si>
  <si>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</si>
  <si>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</si>
  <si>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</si>
  <si>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</si>
  <si>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</si>
  <si>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</si>
  <si>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</si>
  <si>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</si>
  <si>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</si>
  <si>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</si>
  <si>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</si>
  <si>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</si>
  <si>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</si>
  <si>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</si>
  <si>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</si>
  <si>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</si>
  <si>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</si>
  <si>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</si>
  <si>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</si>
  <si>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</si>
  <si>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</si>
  <si>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</si>
  <si>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</si>
  <si>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</si>
  <si>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</si>
  <si>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</si>
  <si>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</si>
  <si>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</si>
  <si>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</si>
  <si>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</si>
  <si>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</si>
  <si>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</si>
  <si>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</si>
  <si>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</si>
  <si>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</si>
  <si>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</si>
  <si>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</si>
  <si>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</si>
  <si>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</si>
  <si>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</si>
  <si>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</si>
  <si>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</si>
  <si>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</si>
  <si>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</si>
  <si>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</si>
  <si>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</si>
  <si>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</si>
  <si>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</si>
  <si>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</si>
  <si>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</si>
  <si>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</si>
  <si>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</si>
  <si>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</si>
  <si>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</si>
  <si>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</si>
  <si>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</si>
  <si>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</si>
  <si>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</si>
  <si>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</si>
  <si>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</si>
  <si>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</si>
  <si>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</si>
  <si>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</si>
  <si>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</si>
  <si>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</si>
  <si>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</si>
  <si>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</si>
  <si>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</si>
  <si>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</si>
  <si>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</si>
  <si>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</si>
  <si>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</si>
  <si>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</si>
  <si>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</si>
  <si>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</si>
  <si>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</si>
  <si>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</si>
  <si>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</si>
  <si>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</si>
  <si>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</si>
  <si>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</si>
  <si>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</si>
  <si>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</si>
  <si>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</si>
  <si>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</si>
  <si>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</si>
  <si>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</si>
  <si>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</si>
  <si>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</si>
  <si>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</si>
  <si>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</si>
  <si>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</si>
  <si>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</si>
  <si>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</si>
  <si>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</si>
  <si>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</si>
  <si>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</si>
  <si>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</si>
  <si>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</si>
  <si>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</si>
  <si>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</si>
  <si>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</si>
  <si>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</si>
  <si>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</si>
  <si>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</si>
  <si>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</si>
  <si>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</si>
  <si>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</si>
  <si>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</si>
  <si>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</si>
  <si>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</si>
  <si>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</si>
  <si>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</si>
  <si>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</si>
  <si>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</si>
  <si>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</si>
  <si>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</si>
  <si>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</si>
  <si>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</si>
  <si>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</si>
  <si>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</si>
  <si>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</si>
  <si>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</si>
  <si>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</si>
  <si>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</si>
  <si>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</si>
  <si>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</si>
  <si>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</si>
  <si>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</si>
  <si>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</si>
  <si>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</si>
  <si>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</si>
  <si>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</si>
  <si>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</si>
  <si>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</si>
  <si>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</si>
  <si>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</si>
  <si>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</si>
  <si>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</si>
  <si>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</si>
  <si>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</si>
  <si>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</si>
  <si>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</si>
  <si>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</si>
  <si>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</si>
  <si>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</si>
  <si>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</si>
  <si>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</si>
  <si>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</si>
  <si>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</si>
  <si>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</si>
  <si>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</si>
  <si>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</si>
  <si>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</si>
  <si>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</si>
  <si>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</si>
  <si>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</si>
  <si>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</si>
  <si>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</si>
  <si>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</si>
  <si>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</si>
  <si>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</si>
  <si>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</si>
  <si>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</si>
  <si>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</si>
  <si>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</si>
  <si>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</si>
  <si>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</si>
  <si>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</si>
  <si>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</si>
  <si>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</si>
  <si>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</si>
  <si>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</si>
  <si>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</si>
  <si>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</si>
  <si>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</si>
  <si>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</si>
  <si>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</si>
  <si>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</si>
  <si>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</si>
  <si>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</si>
  <si>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</si>
  <si>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</si>
  <si>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</si>
  <si>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</si>
  <si>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</si>
  <si>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</si>
  <si>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</si>
  <si>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</si>
  <si>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</si>
  <si>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</si>
  <si>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</si>
  <si>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</si>
  <si>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</si>
  <si>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</si>
  <si>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</si>
  <si>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</si>
  <si>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</si>
  <si>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</si>
  <si>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</si>
  <si>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</si>
  <si>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</si>
  <si>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</si>
  <si>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</si>
  <si>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</si>
  <si>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</si>
  <si>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</si>
  <si>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</si>
  <si>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</si>
  <si>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</si>
  <si>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</si>
  <si>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</si>
  <si>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</si>
  <si>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</si>
  <si>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</si>
  <si>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</si>
  <si>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</si>
  <si>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</si>
  <si>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</si>
  <si>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</si>
  <si>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</si>
  <si>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</si>
  <si>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</si>
  <si>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</si>
  <si>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</si>
  <si>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</si>
  <si>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</si>
  <si>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</si>
  <si>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</si>
  <si>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</si>
  <si>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</si>
  <si>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</si>
  <si>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</si>
  <si>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</si>
  <si>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</si>
  <si>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</si>
  <si>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</si>
  <si>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</si>
  <si>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</si>
  <si>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</si>
  <si>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</si>
  <si>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</si>
  <si>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</si>
  <si>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</si>
  <si>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</si>
  <si>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</si>
  <si>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</si>
  <si>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</si>
  <si>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</si>
  <si>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</si>
  <si>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</si>
  <si>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</si>
  <si>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</si>
  <si>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</si>
  <si>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</si>
  <si>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</si>
  <si>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</si>
  <si>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</si>
  <si>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</si>
  <si>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</si>
  <si>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</si>
  <si>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</si>
  <si>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</si>
  <si>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</si>
  <si>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</si>
  <si>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</si>
  <si>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</si>
  <si>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</si>
  <si>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</si>
  <si>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</si>
  <si>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</si>
  <si>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</si>
  <si>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</si>
  <si>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</si>
  <si>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</si>
  <si>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</si>
  <si>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</si>
  <si>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</si>
  <si>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</si>
  <si>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</si>
  <si>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</si>
  <si>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</si>
  <si>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</si>
  <si>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</si>
  <si>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</si>
  <si>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</si>
  <si>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</si>
  <si>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</si>
  <si>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</si>
  <si>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</si>
  <si>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</si>
  <si>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</si>
  <si>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</si>
  <si>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</si>
  <si>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</si>
  <si>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</si>
  <si>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</si>
  <si>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</si>
  <si>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</si>
  <si>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</si>
  <si>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</si>
  <si>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</si>
  <si>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</si>
  <si>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</si>
  <si>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</si>
  <si>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</si>
  <si>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</si>
  <si>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</si>
  <si>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</si>
  <si>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</si>
  <si>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</si>
  <si>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</si>
  <si>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</si>
  <si>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</si>
  <si>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</si>
  <si>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</si>
  <si>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</si>
  <si>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</si>
  <si>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</si>
  <si>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</si>
  <si>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</si>
  <si>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</si>
  <si>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</si>
  <si>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</si>
  <si>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</si>
  <si>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</si>
  <si>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</si>
  <si>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</si>
  <si>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</si>
  <si>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</si>
  <si>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</si>
  <si>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</si>
  <si>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</si>
  <si>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</si>
  <si>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</si>
  <si>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</si>
  <si>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</si>
  <si>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</si>
  <si>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</si>
  <si>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</si>
  <si>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</si>
  <si>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</si>
  <si>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</si>
  <si>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</si>
  <si>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</si>
  <si>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</si>
  <si>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</si>
  <si>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</si>
  <si>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</si>
  <si>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</si>
  <si>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</si>
  <si>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</si>
  <si>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</si>
  <si>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</si>
  <si>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</si>
  <si>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</si>
  <si>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</si>
  <si>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</si>
  <si>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</si>
  <si>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</si>
  <si>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</si>
  <si>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</si>
  <si>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</si>
  <si>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</si>
  <si>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</si>
  <si>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</si>
  <si>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</si>
  <si>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</si>
  <si>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</si>
  <si>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</si>
  <si>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</si>
  <si>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</si>
  <si>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</si>
  <si>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</si>
  <si>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</si>
  <si>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</si>
  <si>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</si>
  <si>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</si>
  <si>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</si>
  <si>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</si>
  <si>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</si>
  <si>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</si>
  <si>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</si>
  <si>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</si>
  <si>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</si>
  <si>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</si>
  <si>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</si>
  <si>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</si>
  <si>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</si>
  <si>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</si>
  <si>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</si>
  <si>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</si>
  <si>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</si>
  <si>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</si>
  <si>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</si>
  <si>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</si>
  <si>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</si>
  <si>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</si>
  <si>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</si>
  <si>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</si>
  <si>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</si>
  <si>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</si>
  <si>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</si>
  <si>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</si>
  <si>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</si>
  <si>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</si>
  <si>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</si>
  <si>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</si>
  <si>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</si>
  <si>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</si>
  <si>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</si>
  <si>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</si>
  <si>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</si>
  <si>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</si>
  <si>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</si>
  <si>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</si>
  <si>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</si>
  <si>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</si>
  <si>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</si>
  <si>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</si>
  <si>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</si>
  <si>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</si>
  <si>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</si>
  <si>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</si>
  <si>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</si>
  <si>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</si>
  <si>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</si>
  <si>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</si>
  <si>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</si>
  <si>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</si>
  <si>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</si>
  <si>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</si>
  <si>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</si>
  <si>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</si>
  <si>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</si>
  <si>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</si>
  <si>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</si>
  <si>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</si>
  <si>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</si>
  <si>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</si>
  <si>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</si>
  <si>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</si>
  <si>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</si>
  <si>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</si>
  <si>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</si>
  <si>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</si>
  <si>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</si>
  <si>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</si>
  <si>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</si>
  <si>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</si>
  <si>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</si>
  <si>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</si>
  <si>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</si>
  <si>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</si>
  <si>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</si>
  <si>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</si>
  <si>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</si>
  <si>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</si>
  <si>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</si>
  <si>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</si>
  <si>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</si>
  <si>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</si>
  <si>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</si>
  <si>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</si>
  <si>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</si>
  <si>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</si>
  <si>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</si>
  <si>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</si>
  <si>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</si>
  <si>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</si>
  <si>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</si>
  <si>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</si>
  <si>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</si>
  <si>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</si>
  <si>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</si>
  <si>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</si>
  <si>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</si>
  <si>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</si>
  <si>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</si>
  <si>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</si>
  <si>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</si>
  <si>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</si>
  <si>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</si>
  <si>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</si>
  <si>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</si>
  <si>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</si>
  <si>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</si>
  <si>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</si>
  <si>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</si>
  <si>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</si>
  <si>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</si>
  <si>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</si>
  <si>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</si>
  <si>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</si>
  <si>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</si>
  <si>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</si>
  <si>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</si>
  <si>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</si>
  <si>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</si>
  <si>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</si>
  <si>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</si>
  <si>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</si>
  <si>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</si>
  <si>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</si>
  <si>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</si>
  <si>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</si>
  <si>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</si>
  <si>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</si>
  <si>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</si>
  <si>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</si>
  <si>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</si>
  <si>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</si>
  <si>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</si>
  <si>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</si>
  <si>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</si>
  <si>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</si>
  <si>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</si>
  <si>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</si>
  <si>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</si>
  <si>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</si>
  <si>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</si>
  <si>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</si>
  <si>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</si>
  <si>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</si>
  <si>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</si>
  <si>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</si>
  <si>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</si>
  <si>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</si>
  <si>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</si>
  <si>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</si>
  <si>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</si>
  <si>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</si>
  <si>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</si>
  <si>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</si>
  <si>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</si>
  <si>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</si>
  <si>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</si>
  <si>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</si>
  <si>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</si>
  <si>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</si>
  <si>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</si>
  <si>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</si>
  <si>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</si>
  <si>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</si>
  <si>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</si>
  <si>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</si>
  <si>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</si>
  <si>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</si>
  <si>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</si>
  <si>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</si>
  <si>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</si>
  <si>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</si>
  <si>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</si>
  <si>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</si>
  <si>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</si>
  <si>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</si>
  <si>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</si>
  <si>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</si>
  <si>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</si>
  <si>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</si>
  <si>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</si>
  <si>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</si>
  <si>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</si>
  <si>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</si>
  <si>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</si>
  <si>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</si>
  <si>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</si>
  <si>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</si>
  <si>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</si>
  <si>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</si>
  <si>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</si>
  <si>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</si>
  <si>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</si>
  <si>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</si>
  <si>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</si>
  <si>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</si>
  <si>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</si>
  <si>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</si>
  <si>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</si>
  <si>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</si>
  <si>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</si>
  <si>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</si>
  <si>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</si>
  <si>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</si>
  <si>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</si>
  <si>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</si>
  <si>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</si>
  <si>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</si>
  <si>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</si>
  <si>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</si>
  <si>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</si>
  <si>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</si>
  <si>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</si>
  <si>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</si>
  <si>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</si>
  <si>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</si>
  <si>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</si>
  <si>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</si>
  <si>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</si>
  <si>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</si>
  <si>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</si>
  <si>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</si>
  <si>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</si>
  <si>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</si>
  <si>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</si>
  <si>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</si>
  <si>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</si>
  <si>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</si>
  <si>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</si>
  <si>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</si>
  <si>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</si>
  <si>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</si>
  <si>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</si>
  <si>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</si>
  <si>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</si>
  <si>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</si>
  <si>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</si>
  <si>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</si>
  <si>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</si>
  <si>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</si>
  <si>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</si>
  <si>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</si>
  <si>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</si>
  <si>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</si>
  <si>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</si>
  <si>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</si>
  <si>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</si>
  <si>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</si>
  <si>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</si>
  <si>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</si>
  <si>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</si>
  <si>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</si>
  <si>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</si>
  <si>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</si>
  <si>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</si>
  <si>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</si>
  <si>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</si>
  <si>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</si>
  <si>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</si>
  <si>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</si>
  <si>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</si>
  <si>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</si>
  <si>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</si>
  <si>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</si>
  <si>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</si>
  <si>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</si>
  <si>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</si>
  <si>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</si>
  <si>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</si>
  <si>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</si>
  <si>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</si>
  <si>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</si>
  <si>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</si>
  <si>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</si>
  <si>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</si>
  <si>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</si>
  <si>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</si>
  <si>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</si>
  <si>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</si>
  <si>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</si>
  <si>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</si>
  <si>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</si>
  <si>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</si>
  <si>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</si>
  <si>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</si>
  <si>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</si>
  <si>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</si>
  <si>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</si>
  <si>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</si>
  <si>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</si>
  <si>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</si>
  <si>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</si>
  <si>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</si>
  <si>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</si>
  <si>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</si>
  <si>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</si>
  <si>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</si>
  <si>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</si>
  <si>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</si>
  <si>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</si>
  <si>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</si>
  <si>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</si>
  <si>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</si>
  <si>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</si>
  <si>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</si>
  <si>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</si>
  <si>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</si>
  <si>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</si>
  <si>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</si>
  <si>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</si>
  <si>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</si>
  <si>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</si>
  <si>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</si>
  <si>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</si>
  <si>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</si>
  <si>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</si>
  <si>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</si>
  <si>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</si>
  <si>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</si>
  <si>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</si>
  <si>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</si>
  <si>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</si>
  <si>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</si>
  <si>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</si>
  <si>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</si>
  <si>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</si>
  <si>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</si>
  <si>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</si>
  <si>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</si>
  <si>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</si>
  <si>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</si>
  <si>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</si>
  <si>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</si>
  <si>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</si>
  <si>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</si>
  <si>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</si>
  <si>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</si>
  <si>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</si>
  <si>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</si>
  <si>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</si>
  <si>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</si>
  <si>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</si>
  <si>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</si>
  <si>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</si>
  <si>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</si>
  <si>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</si>
  <si>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</si>
  <si>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</si>
  <si>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</si>
  <si>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</si>
  <si>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</si>
  <si>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</si>
  <si>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</si>
  <si>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</si>
  <si>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</si>
  <si>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</si>
  <si>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</si>
  <si>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</si>
  <si>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</si>
  <si>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</si>
  <si>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</si>
  <si>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</si>
  <si>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</si>
  <si>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</si>
  <si>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</si>
  <si>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</si>
  <si>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</si>
  <si>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</si>
  <si>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</si>
  <si>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</si>
  <si>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</si>
  <si>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</si>
  <si>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</si>
  <si>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</si>
  <si>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</si>
  <si>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</si>
  <si>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</si>
  <si>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</si>
  <si>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</si>
  <si>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</si>
  <si>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</si>
  <si>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</si>
  <si>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</si>
  <si>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</si>
  <si>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</si>
  <si>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</si>
  <si>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</si>
  <si>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</si>
  <si>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</si>
  <si>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</si>
  <si>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</si>
  <si>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</si>
  <si>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</si>
  <si>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</si>
  <si>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</si>
  <si>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</si>
  <si>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</si>
  <si>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</si>
  <si>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</si>
  <si>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</si>
  <si>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</si>
  <si>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</si>
  <si>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</si>
  <si>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</si>
  <si>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</si>
  <si>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</si>
  <si>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</si>
  <si>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</si>
  <si>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</si>
  <si>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</si>
  <si>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</si>
  <si>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</si>
  <si>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</si>
  <si>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</si>
  <si>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</si>
  <si>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</si>
  <si>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</si>
  <si>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</si>
  <si>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</si>
  <si>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</si>
  <si>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</si>
  <si>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</si>
  <si>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</si>
  <si>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</si>
  <si>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</si>
  <si>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</si>
  <si>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</si>
  <si>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</si>
  <si>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</si>
  <si>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</si>
  <si>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</si>
  <si>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</si>
  <si>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</si>
  <si>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</si>
  <si>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</si>
  <si>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</si>
  <si>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</si>
  <si>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</si>
  <si>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</si>
  <si>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</si>
  <si>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</si>
  <si>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</si>
  <si>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</si>
  <si>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</si>
  <si>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</si>
  <si>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</si>
  <si>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</si>
  <si>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</si>
  <si>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</si>
  <si>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</si>
  <si>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</si>
  <si>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</si>
  <si>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</si>
  <si>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</si>
  <si>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</si>
  <si>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</si>
  <si>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</si>
  <si>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</si>
  <si>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</si>
  <si>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</si>
  <si>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</si>
  <si>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</si>
  <si>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</si>
  <si>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</si>
  <si>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</si>
  <si>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</si>
  <si>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</si>
  <si>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</si>
  <si>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</si>
  <si>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</si>
  <si>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</si>
  <si>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</si>
  <si>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</si>
  <si>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</si>
  <si>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</si>
  <si>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</si>
  <si>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</si>
  <si>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</si>
  <si>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</si>
  <si>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</si>
  <si>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</si>
  <si>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</si>
  <si>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</si>
  <si>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</si>
  <si>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</si>
  <si>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</si>
  <si>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</si>
  <si>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</si>
  <si>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</si>
  <si>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</si>
  <si>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</si>
  <si>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</si>
  <si>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</si>
  <si>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</si>
  <si>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</si>
  <si>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</si>
  <si>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</si>
  <si>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</si>
  <si>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</si>
  <si>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</si>
  <si>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</si>
  <si>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</si>
  <si>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</si>
  <si>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</si>
  <si>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</si>
  <si>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</si>
  <si>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</si>
  <si>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</si>
  <si>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</si>
  <si>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</si>
  <si>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</si>
  <si>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</si>
  <si>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</si>
  <si>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</si>
  <si>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</si>
  <si>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</si>
  <si>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</si>
  <si>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</si>
  <si>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</si>
  <si>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</si>
  <si>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</si>
  <si>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</si>
  <si>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</si>
  <si>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</si>
  <si>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</si>
  <si>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</si>
  <si>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</si>
  <si>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</si>
  <si>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</si>
  <si>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</si>
  <si>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</si>
  <si>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</si>
  <si>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</si>
  <si>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</si>
  <si>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</si>
  <si>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</si>
  <si>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</si>
  <si>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</si>
  <si>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</si>
  <si>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</si>
  <si>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</si>
  <si>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</si>
  <si>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</si>
  <si>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</si>
  <si>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</si>
  <si>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</si>
  <si>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</si>
  <si>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</si>
  <si>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</si>
  <si>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</si>
  <si>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</si>
  <si>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</si>
  <si>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</si>
  <si>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</si>
  <si>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</si>
  <si>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</si>
  <si>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</si>
  <si>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</si>
  <si>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</si>
  <si>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</si>
  <si>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</si>
  <si>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</si>
  <si>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</si>
  <si>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</si>
  <si>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</si>
  <si>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</si>
  <si>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</si>
  <si>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</si>
  <si>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</si>
  <si>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</si>
  <si>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</si>
  <si>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</si>
  <si>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</si>
  <si>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</si>
  <si>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</si>
  <si>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</si>
  <si>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</si>
  <si>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</si>
  <si>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</si>
  <si>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</si>
  <si>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</si>
  <si>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</si>
  <si>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</si>
  <si>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</si>
  <si>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</si>
  <si>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</si>
  <si>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</si>
  <si>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</si>
  <si>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</si>
  <si>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</si>
  <si>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</si>
  <si>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</si>
  <si>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</si>
  <si>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</si>
  <si>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</si>
  <si>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</si>
  <si>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</si>
  <si>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</si>
  <si>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</si>
  <si>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</si>
  <si>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</si>
  <si>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</si>
  <si>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</si>
  <si>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</si>
  <si>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</si>
  <si>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</si>
  <si>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</si>
  <si>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</si>
  <si>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</si>
  <si>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</si>
  <si>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</si>
  <si>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</si>
  <si>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</si>
  <si>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</si>
  <si>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</si>
  <si>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</si>
  <si>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</si>
  <si>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</si>
  <si>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</si>
  <si>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</si>
  <si>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</si>
  <si>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</si>
  <si>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</si>
  <si>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</si>
  <si>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</si>
  <si>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</si>
  <si>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</si>
  <si>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</si>
  <si>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</si>
  <si>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</si>
  <si>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</si>
  <si>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</si>
  <si>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</si>
  <si>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</si>
  <si>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</si>
  <si>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</si>
  <si>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</si>
  <si>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</si>
  <si>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</si>
  <si>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</si>
  <si>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</si>
  <si>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</si>
  <si>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</si>
  <si>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</si>
  <si>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</si>
  <si>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</si>
  <si>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</si>
  <si>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</si>
  <si>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</si>
  <si>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</si>
  <si>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</si>
  <si>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</si>
  <si>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</si>
  <si>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</si>
  <si>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</si>
  <si>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</si>
  <si>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</si>
  <si>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</si>
  <si>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</si>
  <si>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</si>
  <si>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</si>
  <si>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</si>
  <si>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</si>
  <si>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</si>
  <si>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</si>
  <si>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</si>
  <si>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</si>
  <si>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</si>
  <si>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</si>
  <si>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</si>
  <si>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</si>
  <si>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</si>
  <si>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</si>
  <si>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</si>
  <si>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</si>
  <si>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</si>
  <si>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</si>
  <si>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</si>
  <si>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</si>
  <si>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</si>
  <si>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</si>
  <si>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</si>
  <si>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</si>
  <si>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</si>
  <si>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</si>
  <si>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</si>
  <si>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</si>
  <si>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</si>
  <si>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</si>
  <si>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</si>
  <si>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</si>
  <si>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</si>
  <si>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</si>
  <si>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</si>
  <si>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</si>
  <si>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</si>
  <si>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</si>
  <si>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</si>
  <si>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</si>
  <si>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</si>
  <si>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</si>
  <si>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</si>
  <si>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</si>
  <si>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</si>
  <si>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</si>
  <si>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</si>
  <si>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</si>
  <si>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</si>
  <si>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</si>
  <si>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</si>
  <si>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</si>
  <si>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</si>
  <si>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</si>
  <si>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</si>
  <si>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</si>
  <si>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</si>
  <si>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</si>
  <si>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</si>
  <si>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</si>
  <si>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</si>
  <si>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</si>
  <si>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</si>
  <si>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</si>
  <si>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</si>
  <si>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</si>
  <si>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</si>
  <si>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</si>
  <si>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</si>
  <si>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</si>
  <si>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</si>
  <si>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</si>
  <si>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</si>
  <si>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</si>
  <si>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</si>
  <si>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</si>
  <si>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</si>
  <si>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</si>
  <si>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</si>
  <si>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</si>
  <si>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</si>
  <si>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</si>
  <si>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</si>
  <si>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</si>
  <si>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</si>
  <si>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</si>
  <si>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</si>
  <si>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</si>
  <si>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</si>
  <si>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</si>
  <si>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</si>
  <si>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</si>
  <si>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</si>
  <si>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</si>
  <si>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</si>
  <si>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</si>
  <si>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</si>
  <si>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</si>
  <si>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</si>
  <si>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</si>
  <si>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</si>
  <si>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</si>
  <si>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</si>
  <si>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</si>
  <si>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</si>
  <si>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</si>
  <si>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</si>
  <si>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</si>
  <si>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</si>
  <si>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</si>
  <si>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</si>
  <si>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</si>
  <si>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</si>
  <si>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</si>
  <si>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</si>
  <si>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</si>
  <si>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</si>
  <si>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</si>
  <si>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</si>
  <si>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</si>
  <si>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</si>
  <si>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</si>
  <si>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</si>
  <si>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</si>
  <si>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</si>
  <si>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</si>
  <si>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</si>
  <si>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</si>
  <si>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</si>
  <si>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</si>
  <si>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</si>
  <si>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</si>
  <si>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</si>
  <si>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</si>
  <si>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</si>
  <si>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</si>
  <si>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</si>
  <si>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</si>
  <si>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</si>
  <si>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</si>
  <si>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</si>
  <si>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</si>
  <si>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</si>
  <si>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</si>
  <si>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</si>
  <si>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</si>
  <si>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</si>
  <si>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</si>
  <si>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</si>
  <si>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</si>
  <si>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</si>
  <si>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</si>
  <si>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</si>
  <si>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</si>
  <si>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</si>
  <si>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</si>
  <si>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</si>
  <si>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</si>
  <si>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</si>
  <si>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</si>
  <si>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</si>
  <si>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</si>
  <si>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</si>
  <si>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</si>
  <si>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</si>
  <si>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</si>
  <si>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</si>
  <si>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</si>
  <si>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</si>
  <si>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</si>
  <si>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</si>
  <si>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</si>
  <si>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</si>
  <si>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</si>
  <si>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</si>
  <si>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</si>
  <si>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</si>
  <si>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</si>
  <si>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</si>
  <si>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</si>
  <si>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</si>
  <si>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</si>
  <si>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</si>
  <si>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</si>
  <si>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</si>
  <si>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</si>
  <si>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</si>
  <si>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</si>
  <si>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</si>
  <si>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</si>
  <si>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</si>
  <si>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</si>
  <si>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</si>
  <si>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</si>
  <si>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</si>
  <si>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</si>
  <si>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</si>
  <si>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</si>
  <si>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</si>
  <si>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</si>
  <si>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</si>
  <si>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</si>
  <si>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</si>
  <si>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</si>
  <si>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</si>
  <si>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</si>
  <si>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</si>
  <si>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</si>
  <si>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</si>
  <si>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</si>
  <si>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</si>
  <si>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</si>
  <si>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</si>
  <si>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</si>
  <si>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</si>
  <si>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</si>
  <si>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</si>
  <si>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</si>
  <si>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</si>
  <si>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</si>
  <si>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</si>
  <si>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</si>
  <si>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</si>
  <si>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</si>
  <si>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</si>
  <si>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</si>
  <si>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</si>
  <si>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</si>
  <si>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</si>
  <si>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</si>
  <si>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</si>
  <si>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</si>
  <si>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</si>
  <si>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</si>
  <si>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</si>
  <si>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</si>
  <si>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</si>
  <si>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</si>
  <si>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</si>
  <si>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</si>
  <si>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</si>
  <si>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</si>
  <si>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</si>
  <si>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</si>
  <si>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</si>
  <si>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</si>
  <si>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</si>
  <si>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</si>
  <si>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</si>
  <si>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</si>
  <si>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</si>
  <si>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</si>
  <si>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</si>
  <si>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</si>
  <si>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</si>
  <si>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</si>
  <si>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</si>
  <si>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</si>
  <si>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</si>
  <si>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</si>
  <si>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</si>
  <si>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</si>
  <si>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</si>
  <si>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</si>
  <si>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</si>
  <si>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</si>
  <si>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</si>
  <si>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</si>
  <si>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</si>
  <si>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</si>
  <si>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</si>
  <si>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</si>
  <si>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</si>
  <si>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</si>
  <si>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</si>
  <si>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</si>
  <si>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</si>
  <si>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</si>
  <si>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</si>
  <si>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</si>
  <si>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</si>
  <si>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</si>
  <si>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</si>
  <si>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</si>
  <si>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</si>
  <si>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</si>
  <si>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</si>
  <si>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</si>
  <si>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</si>
  <si>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</si>
  <si>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</si>
  <si>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</si>
  <si>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</si>
  <si>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</si>
  <si>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</si>
  <si>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</si>
  <si>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</si>
  <si>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</si>
  <si>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</si>
  <si>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</si>
  <si>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</si>
  <si>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</si>
  <si>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</si>
  <si>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</si>
  <si>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</si>
  <si>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</si>
  <si>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</si>
  <si>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</si>
  <si>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</si>
  <si>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</si>
  <si>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</si>
  <si>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</si>
  <si>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</si>
  <si>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</si>
  <si>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</si>
  <si>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</si>
  <si>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</si>
  <si>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</si>
  <si>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</si>
  <si>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</si>
  <si>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</si>
  <si>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</si>
  <si>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</si>
  <si>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</si>
  <si>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</si>
  <si>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</si>
  <si>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</si>
  <si>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</si>
  <si>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</si>
  <si>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</si>
  <si>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</si>
  <si>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</si>
  <si>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</si>
  <si>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</si>
  <si>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</si>
  <si>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</si>
  <si>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</si>
  <si>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</si>
  <si>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</si>
  <si>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</si>
  <si>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</si>
  <si>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</si>
  <si>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</si>
  <si>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</si>
  <si>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</si>
  <si>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</si>
  <si>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</si>
  <si>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</si>
  <si>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</si>
  <si>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</si>
  <si>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</si>
  <si>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</si>
  <si>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</si>
  <si>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</si>
  <si>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</si>
  <si>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</si>
  <si>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</si>
  <si>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</si>
  <si>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</si>
  <si>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</si>
  <si>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</si>
  <si>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</si>
  <si>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</si>
  <si>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</si>
  <si>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</si>
  <si>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</si>
  <si>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</si>
  <si>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</si>
  <si>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</si>
  <si>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</si>
  <si>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</si>
  <si>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</si>
  <si>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</si>
  <si>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</si>
  <si>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</si>
  <si>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</si>
  <si>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</si>
  <si>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</si>
  <si>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</si>
  <si>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</si>
  <si>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</si>
  <si>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</si>
  <si>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</si>
  <si>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</si>
  <si>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</si>
  <si>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</si>
  <si>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</si>
  <si>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</si>
  <si>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</si>
  <si>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</si>
  <si>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</si>
  <si>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</si>
  <si>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</si>
  <si>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</si>
  <si>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</si>
  <si>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</si>
  <si>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</si>
  <si>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</si>
  <si>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</si>
  <si>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</si>
  <si>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</si>
  <si>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</si>
  <si>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</si>
  <si>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</si>
  <si>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</si>
  <si>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</si>
  <si>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</si>
  <si>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</si>
  <si>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</si>
  <si>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</si>
  <si>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</si>
  <si>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</si>
  <si>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</si>
  <si>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</si>
  <si>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</si>
  <si>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</si>
  <si>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</si>
  <si>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</si>
  <si>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</si>
  <si>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</si>
  <si>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</si>
  <si>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</si>
  <si>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</si>
  <si>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</si>
  <si>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</si>
  <si>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</si>
  <si>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</si>
  <si>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</si>
  <si>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</si>
  <si>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</si>
  <si>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</si>
  <si>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</si>
  <si>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</si>
  <si>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</si>
  <si>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</si>
  <si>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</si>
  <si>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</si>
  <si>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</si>
  <si>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</si>
  <si>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</si>
  <si>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</si>
  <si>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</si>
  <si>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</si>
  <si>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</si>
  <si>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</si>
  <si>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</si>
  <si>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</si>
  <si>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</si>
  <si>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</si>
  <si>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</si>
  <si>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</si>
  <si>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</si>
  <si>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</si>
  <si>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</si>
  <si>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</si>
  <si>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</si>
  <si>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</si>
  <si>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</si>
  <si>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</si>
  <si>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</si>
  <si>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</si>
  <si>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</si>
  <si>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</si>
  <si>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</si>
  <si>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</si>
  <si>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</si>
  <si>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</si>
  <si>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</si>
  <si>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</si>
  <si>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</si>
  <si>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</si>
  <si>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</si>
  <si>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</si>
  <si>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</si>
  <si>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</si>
  <si>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</si>
  <si>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</si>
  <si>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</si>
  <si>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</si>
  <si>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</si>
  <si>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</si>
  <si>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</si>
  <si>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</si>
  <si>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</si>
  <si>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</si>
  <si>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</si>
  <si>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</si>
  <si>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</si>
  <si>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</si>
  <si>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</si>
  <si>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</si>
  <si>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</si>
  <si>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</si>
  <si>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</si>
  <si>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</si>
  <si>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</si>
  <si>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</si>
  <si>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</si>
  <si>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</si>
  <si>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</si>
  <si>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</si>
  <si>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</si>
  <si>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</si>
  <si>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</si>
  <si>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</si>
  <si>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</si>
  <si>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</si>
  <si>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</si>
  <si>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</si>
  <si>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</si>
  <si>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</si>
  <si>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</si>
  <si>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</si>
  <si>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</si>
  <si>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</si>
  <si>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</si>
  <si>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</si>
  <si>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</si>
  <si>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</si>
  <si>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</si>
  <si>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</si>
  <si>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</si>
  <si>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</si>
  <si>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</si>
  <si>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</si>
  <si>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</si>
  <si>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</si>
  <si>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</si>
  <si>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</si>
  <si>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</si>
  <si>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</si>
  <si>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</si>
  <si>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</si>
  <si>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</si>
  <si>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</si>
  <si>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</si>
  <si>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</si>
  <si>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</si>
  <si>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</si>
  <si>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</si>
  <si>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</si>
  <si>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</si>
  <si>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</si>
  <si>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</si>
  <si>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</si>
  <si>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</si>
  <si>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</si>
  <si>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</si>
  <si>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</si>
  <si>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</si>
  <si>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</si>
  <si>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</si>
  <si>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</si>
  <si>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</si>
  <si>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</si>
  <si>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</si>
  <si>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</si>
  <si>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</si>
  <si>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</si>
  <si>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</si>
  <si>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</si>
  <si>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</si>
  <si>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</si>
  <si>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</si>
  <si>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</si>
  <si>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</si>
  <si>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</si>
  <si>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</si>
  <si>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</si>
  <si>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</si>
  <si>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</si>
  <si>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</si>
  <si>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</si>
  <si>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</si>
  <si>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</si>
  <si>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</si>
  <si>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</si>
  <si>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</si>
  <si>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</si>
  <si>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</si>
  <si>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</si>
  <si>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</si>
  <si>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</si>
  <si>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</si>
  <si>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</si>
  <si>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</si>
  <si>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</si>
  <si>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</si>
  <si>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</si>
  <si>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</si>
  <si>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</si>
  <si>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</si>
  <si>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</si>
  <si>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</si>
  <si>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</si>
  <si>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</si>
  <si>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</si>
  <si>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</si>
  <si>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</si>
  <si>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</si>
  <si>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</si>
  <si>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</si>
  <si>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</si>
  <si>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</si>
  <si>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</si>
  <si>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</si>
  <si>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</si>
  <si>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</si>
  <si>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</si>
  <si>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</si>
  <si>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</si>
  <si>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</si>
  <si>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</si>
  <si>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</si>
  <si>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</si>
  <si>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</si>
  <si>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</si>
  <si>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</si>
  <si>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</si>
  <si>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</si>
  <si>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</si>
  <si>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</si>
  <si>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</si>
  <si>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</si>
  <si>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</si>
  <si>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</si>
  <si>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</si>
  <si>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</si>
  <si>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</si>
  <si>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</si>
  <si>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</si>
  <si>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</si>
  <si>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</si>
  <si>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</si>
  <si>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</si>
  <si>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</si>
  <si>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</si>
  <si>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</si>
  <si>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</si>
  <si>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</si>
  <si>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</si>
  <si>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</si>
  <si>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</si>
  <si>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</si>
  <si>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</si>
  <si>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</si>
  <si>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</si>
  <si>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</si>
  <si>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</si>
  <si>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</si>
  <si>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</si>
  <si>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</si>
  <si>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</si>
  <si>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</si>
  <si>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</si>
  <si>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</si>
  <si>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</si>
  <si>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</si>
  <si>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</si>
  <si>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</si>
  <si>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</si>
  <si>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</si>
  <si>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</si>
  <si>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</si>
  <si>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</si>
  <si>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</si>
  <si>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</si>
  <si>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</si>
  <si>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</si>
  <si>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</si>
  <si>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</si>
  <si>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</si>
  <si>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</si>
  <si>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</si>
  <si>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</si>
  <si>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</si>
  <si>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</si>
  <si>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</si>
  <si>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</si>
  <si>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</si>
  <si>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</si>
  <si>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</si>
  <si>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</si>
  <si>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</si>
  <si>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</si>
  <si>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</si>
  <si>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</si>
  <si>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</si>
  <si>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</si>
  <si>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</si>
  <si>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</si>
  <si>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</si>
  <si>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</si>
  <si>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</si>
  <si>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</si>
  <si>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</si>
  <si>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</si>
  <si>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</si>
  <si>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</si>
  <si>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</si>
  <si>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</si>
  <si>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</si>
  <si>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</si>
  <si>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</si>
  <si>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</si>
  <si>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</si>
  <si>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</si>
  <si>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</si>
  <si>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</si>
  <si>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</si>
  <si>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</si>
  <si>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</si>
  <si>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</si>
  <si>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</si>
  <si>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</si>
  <si>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</si>
  <si>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</si>
  <si>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</si>
  <si>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</si>
  <si>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</si>
  <si>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</si>
  <si>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</si>
  <si>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</si>
  <si>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</si>
  <si>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</si>
  <si>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</si>
  <si>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</si>
  <si>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</si>
  <si>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</si>
  <si>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</si>
  <si>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</si>
  <si>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</si>
  <si>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</si>
  <si>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</si>
  <si>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</si>
  <si>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</si>
  <si>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</si>
  <si>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</si>
  <si>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</si>
  <si>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</si>
  <si>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</si>
  <si>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</si>
  <si>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</si>
  <si>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</si>
  <si>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</si>
  <si>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</si>
  <si>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</si>
  <si>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</si>
  <si>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</si>
  <si>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</si>
  <si>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</si>
  <si>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</si>
  <si>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</si>
  <si>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</si>
  <si>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</si>
  <si>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</si>
  <si>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</si>
  <si>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</si>
  <si>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</si>
  <si>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</si>
  <si>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</si>
  <si>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</si>
  <si>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</si>
  <si>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</si>
  <si>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</si>
  <si>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</si>
  <si>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</si>
  <si>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</si>
  <si>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</si>
  <si>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</si>
  <si>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</si>
  <si>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</si>
  <si>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</si>
  <si>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</si>
  <si>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</si>
  <si>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</si>
  <si>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</si>
  <si>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</si>
  <si>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</si>
  <si>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</si>
  <si>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</si>
  <si>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</si>
  <si>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</si>
  <si>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</si>
  <si>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</si>
  <si>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</si>
  <si>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</si>
  <si>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</si>
  <si>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</si>
  <si>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</si>
  <si>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</si>
  <si>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</si>
  <si>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</si>
  <si>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</si>
  <si>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</si>
  <si>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</si>
  <si>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</si>
  <si>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</si>
  <si>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</si>
  <si>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</si>
  <si>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</si>
  <si>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</si>
  <si>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</si>
  <si>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</si>
  <si>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</si>
  <si>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</si>
  <si>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</si>
  <si>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</si>
  <si>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</si>
  <si>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</si>
  <si>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</si>
  <si>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</si>
  <si>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</si>
  <si>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</si>
  <si>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</si>
  <si>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</si>
  <si>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</si>
  <si>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</si>
  <si>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</si>
  <si>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</si>
  <si>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</si>
  <si>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</si>
  <si>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</si>
  <si>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</si>
  <si>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</si>
  <si>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</si>
  <si>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</si>
  <si>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</si>
  <si>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</si>
  <si>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</si>
  <si>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</si>
  <si>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</si>
  <si>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</si>
  <si>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</si>
  <si>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</si>
  <si>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</si>
  <si>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</si>
  <si>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</si>
  <si>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</si>
  <si>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</si>
  <si>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</si>
  <si>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</si>
  <si>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</si>
  <si>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</si>
  <si>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</si>
  <si>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</si>
  <si>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</si>
  <si>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</si>
  <si>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</si>
  <si>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</si>
  <si>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</si>
  <si>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</si>
  <si>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</si>
  <si>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</si>
  <si>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</si>
  <si>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</si>
  <si>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</si>
  <si>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</si>
  <si>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</si>
  <si>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</si>
  <si>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</si>
  <si>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</si>
  <si>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</si>
  <si>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</si>
  <si>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</si>
  <si>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</si>
  <si>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</si>
  <si>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</si>
  <si>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</si>
  <si>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</si>
  <si>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</si>
  <si>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</si>
  <si>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</si>
  <si>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</si>
  <si>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</si>
  <si>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</si>
  <si>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</si>
  <si>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</si>
  <si>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</si>
  <si>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</si>
  <si>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</si>
  <si>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</si>
  <si>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</si>
  <si>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</si>
  <si>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</si>
  <si>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</si>
  <si>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</si>
  <si>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</si>
  <si>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</si>
  <si>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</si>
  <si>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</si>
  <si>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</si>
  <si>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</si>
  <si>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</si>
  <si>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</si>
  <si>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</si>
  <si>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</si>
  <si>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</si>
  <si>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</si>
  <si>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</si>
  <si>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</si>
  <si>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</si>
  <si>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</si>
  <si>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</si>
  <si>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</si>
  <si>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</si>
  <si>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</si>
  <si>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</si>
  <si>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</si>
  <si>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</si>
  <si>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</si>
  <si>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</si>
  <si>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</si>
  <si>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</si>
  <si>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</si>
  <si>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</si>
  <si>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</si>
  <si>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</si>
  <si>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</si>
  <si>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</si>
  <si>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</si>
  <si>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</si>
  <si>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</si>
  <si>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</si>
  <si>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</si>
  <si>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</si>
  <si>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</si>
  <si>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</si>
  <si>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</si>
  <si>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</si>
  <si>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</si>
  <si>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</si>
  <si>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</si>
  <si>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</si>
  <si>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</si>
  <si>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</si>
  <si>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</si>
  <si>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</si>
  <si>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</si>
  <si>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</si>
  <si>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</si>
  <si>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</si>
  <si>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</si>
  <si>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</si>
  <si>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</si>
  <si>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</si>
  <si>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</si>
  <si>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</si>
  <si>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</si>
  <si>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</si>
  <si>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</si>
  <si>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</si>
  <si>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</si>
  <si>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</si>
  <si>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</si>
  <si>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</si>
  <si>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</si>
  <si>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</si>
  <si>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</si>
  <si>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</si>
  <si>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</si>
  <si>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</si>
  <si>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</si>
  <si>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</si>
  <si>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</si>
  <si>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</si>
  <si>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</si>
  <si>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</si>
  <si>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</si>
  <si>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</si>
  <si>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</si>
  <si>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</si>
  <si>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</si>
  <si>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</si>
  <si>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</si>
  <si>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</si>
  <si>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</si>
  <si>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</si>
  <si>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</si>
  <si>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</si>
  <si>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</si>
  <si>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</si>
  <si>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</si>
  <si>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</si>
  <si>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</si>
  <si>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</si>
  <si>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</si>
  <si>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</si>
  <si>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</si>
  <si>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</si>
  <si>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</si>
  <si>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</si>
  <si>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</si>
  <si>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</si>
  <si>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</si>
  <si>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</si>
  <si>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</si>
  <si>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</si>
  <si>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</si>
  <si>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</si>
  <si>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</si>
  <si>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</si>
  <si>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</si>
  <si>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</si>
  <si>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</si>
  <si>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</si>
  <si>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</si>
  <si>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</si>
  <si>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</si>
  <si>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</si>
  <si>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</si>
  <si>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</si>
  <si>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</si>
  <si>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</si>
  <si>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</si>
  <si>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</si>
  <si>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</si>
  <si>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</si>
  <si>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</si>
  <si>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</si>
  <si>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</si>
  <si>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</si>
  <si>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</si>
  <si>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</si>
  <si>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</si>
  <si>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</si>
  <si>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</si>
  <si>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</si>
  <si>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</si>
  <si>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</si>
  <si>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</si>
  <si>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</si>
  <si>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</si>
  <si>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</si>
  <si>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</si>
  <si>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</si>
  <si>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</si>
  <si>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</si>
  <si>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</si>
  <si>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</si>
  <si>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</si>
  <si>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</si>
  <si>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</si>
  <si>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</si>
  <si>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</si>
  <si>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</si>
  <si>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</si>
  <si>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</si>
  <si>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</si>
  <si>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</si>
  <si>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</si>
  <si>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</si>
  <si>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</si>
  <si>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</si>
  <si>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</si>
  <si>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</si>
  <si>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</si>
  <si>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</si>
  <si>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</si>
  <si>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</si>
  <si>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</si>
  <si>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</si>
  <si>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</si>
  <si>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</si>
  <si>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</si>
  <si>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</si>
  <si>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</si>
  <si>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</si>
  <si>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</si>
  <si>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</si>
  <si>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</si>
  <si>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</si>
  <si>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</si>
  <si>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</si>
  <si>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</si>
  <si>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</si>
  <si>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</si>
  <si>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</si>
  <si>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</si>
  <si>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</si>
  <si>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</si>
  <si>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</si>
  <si>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</si>
  <si>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</si>
  <si>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</si>
  <si>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</si>
  <si>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</si>
  <si>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</si>
  <si>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</si>
  <si>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</si>
  <si>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</si>
  <si>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</si>
  <si>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</si>
  <si>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</si>
  <si>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</si>
  <si>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</si>
  <si>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</si>
  <si>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</si>
  <si>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</si>
  <si>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</si>
  <si>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</si>
  <si>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</si>
  <si>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</si>
  <si>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</si>
  <si>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</si>
  <si>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</si>
  <si>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</si>
  <si>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</si>
  <si>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</si>
  <si>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</si>
  <si>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</si>
  <si>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</si>
  <si>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</si>
  <si>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</si>
  <si>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</si>
  <si>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</si>
  <si>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</si>
  <si>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</si>
  <si>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</si>
  <si>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</si>
  <si>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</si>
  <si>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</si>
  <si>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</si>
  <si>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</si>
  <si>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</si>
  <si>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</si>
  <si>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</si>
  <si>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</si>
  <si>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</si>
  <si>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</si>
  <si>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</si>
  <si>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</si>
  <si>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</si>
  <si>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</si>
  <si>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</si>
  <si>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</si>
  <si>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</si>
  <si>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</si>
  <si>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</si>
  <si>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</si>
  <si>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</si>
  <si>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</si>
  <si>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</si>
  <si>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</si>
  <si>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</si>
  <si>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</si>
  <si>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</si>
  <si>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</si>
  <si>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</si>
  <si>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</si>
  <si>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</si>
  <si>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</si>
  <si>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</si>
  <si>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</si>
  <si>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</si>
  <si>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</si>
  <si>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</si>
  <si>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</si>
  <si>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</si>
  <si>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</si>
  <si>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</si>
  <si>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</si>
  <si>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</si>
  <si>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</si>
  <si>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</si>
  <si>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</si>
  <si>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</si>
  <si>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</si>
  <si>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</si>
  <si>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</si>
  <si>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</si>
  <si>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</si>
  <si>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</si>
  <si>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</si>
  <si>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</si>
  <si>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</si>
  <si>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</si>
  <si>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</si>
  <si>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</si>
  <si>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</si>
  <si>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</si>
  <si>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</si>
  <si>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</si>
  <si>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</si>
  <si>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</si>
  <si>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</si>
  <si>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</si>
  <si>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</si>
  <si>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</si>
  <si>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</si>
  <si>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</si>
  <si>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</si>
  <si>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</si>
  <si>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</si>
  <si>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</si>
  <si>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</si>
  <si>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</si>
  <si>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</si>
  <si>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</si>
  <si>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</si>
  <si>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</si>
  <si>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</si>
  <si>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</si>
  <si>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</si>
  <si>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</si>
  <si>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</si>
  <si>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</si>
  <si>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</si>
  <si>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</si>
  <si>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</si>
  <si>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</si>
  <si>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</si>
  <si>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</si>
  <si>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</si>
  <si>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</si>
  <si>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</si>
  <si>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</si>
  <si>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</si>
  <si>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</si>
  <si>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</si>
  <si>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</si>
  <si>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</si>
  <si>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</si>
  <si>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</si>
  <si>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</si>
  <si>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</si>
  <si>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</si>
  <si>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</si>
  <si>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</si>
  <si>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</si>
  <si>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</si>
  <si>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</si>
  <si>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</si>
  <si>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</si>
  <si>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</si>
  <si>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</si>
  <si>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</si>
  <si>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</si>
  <si>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</si>
  <si>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</si>
  <si>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</si>
  <si>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</si>
  <si>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</si>
  <si>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</si>
  <si>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</si>
  <si>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</si>
  <si>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</si>
  <si>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</si>
  <si>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</si>
  <si>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</si>
  <si>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</si>
  <si>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</si>
  <si>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</si>
  <si>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</si>
  <si>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</si>
  <si>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</si>
  <si>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</si>
  <si>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</si>
  <si>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</si>
  <si>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</si>
  <si>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</si>
  <si>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</si>
  <si>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</si>
  <si>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</si>
  <si>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</si>
  <si>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</si>
  <si>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</si>
  <si>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</si>
  <si>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</si>
  <si>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</si>
  <si>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</si>
  <si>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</si>
  <si>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</si>
  <si>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</si>
  <si>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</si>
  <si>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</si>
  <si>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</si>
  <si>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</si>
  <si>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</si>
  <si>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</si>
  <si>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</si>
  <si>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</si>
  <si>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</si>
  <si>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</si>
  <si>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</si>
  <si>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</si>
  <si>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</si>
  <si>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</si>
  <si>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</si>
  <si>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</si>
  <si>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</si>
  <si>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</si>
  <si>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</si>
  <si>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</si>
  <si>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</si>
  <si>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</si>
  <si>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</si>
  <si>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</si>
  <si>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</si>
  <si>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</si>
  <si>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</si>
  <si>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</si>
  <si>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</si>
  <si>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</si>
  <si>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</si>
  <si>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</si>
  <si>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</si>
  <si>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</si>
  <si>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</si>
  <si>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</si>
  <si>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</si>
  <si>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</si>
  <si>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</si>
  <si>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</si>
  <si>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</si>
  <si>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</si>
  <si>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</si>
  <si>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</si>
  <si>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</si>
  <si>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</si>
  <si>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</si>
  <si>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</si>
  <si>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</si>
  <si>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</si>
  <si>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</si>
  <si>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</si>
  <si>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</si>
  <si>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</si>
  <si>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</si>
  <si>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</si>
  <si>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</si>
  <si>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</si>
  <si>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</si>
  <si>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</si>
  <si>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</si>
  <si>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</si>
  <si>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</si>
  <si>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</si>
  <si>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</si>
  <si>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</si>
  <si>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</si>
  <si>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</si>
  <si>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</si>
  <si>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</si>
  <si>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</si>
  <si>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</si>
  <si>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</si>
  <si>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</si>
  <si>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</si>
  <si>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</si>
  <si>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</si>
  <si>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</si>
  <si>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</si>
  <si>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</si>
  <si>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</si>
  <si>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</si>
  <si>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</si>
  <si>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</si>
  <si>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</si>
  <si>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</si>
  <si>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</si>
  <si>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</si>
  <si>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</si>
  <si>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</si>
  <si>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</si>
  <si>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</si>
  <si>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</si>
  <si>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</si>
  <si>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</si>
  <si>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</si>
  <si>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</si>
  <si>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</si>
  <si>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</si>
  <si>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</si>
  <si>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</si>
  <si>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</si>
  <si>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</si>
  <si>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</si>
  <si>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</si>
  <si>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</si>
  <si>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</si>
  <si>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</si>
  <si>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</si>
  <si>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</si>
  <si>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</si>
  <si>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</si>
  <si>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</si>
  <si>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</si>
  <si>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</si>
  <si>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</si>
  <si>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</si>
  <si>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</si>
  <si>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</si>
  <si>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</si>
  <si>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</si>
  <si>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</si>
  <si>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</si>
  <si>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</si>
  <si>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</si>
  <si>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</si>
  <si>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</si>
  <si>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</si>
  <si>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</si>
  <si>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</si>
  <si>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</si>
  <si>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</si>
  <si>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</si>
  <si>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</si>
  <si>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</si>
  <si>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</si>
  <si>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</si>
  <si>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</si>
  <si>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</si>
  <si>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</si>
  <si>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</si>
  <si>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</si>
  <si>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</si>
  <si>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</si>
  <si>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</si>
  <si>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</si>
  <si>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</si>
  <si>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</si>
  <si>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</si>
  <si>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</si>
  <si>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</si>
  <si>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</si>
  <si>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</si>
  <si>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</si>
  <si>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</si>
  <si>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</si>
  <si>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</si>
  <si>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</si>
  <si>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</si>
  <si>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</si>
  <si>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</si>
  <si>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</si>
  <si>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</si>
  <si>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</si>
  <si>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</si>
  <si>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</si>
  <si>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</si>
  <si>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</si>
  <si>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</si>
  <si>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</si>
  <si>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</si>
  <si>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</si>
  <si>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</si>
  <si>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</si>
  <si>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</si>
  <si>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</si>
  <si>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</si>
  <si>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</si>
  <si>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</si>
  <si>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</si>
  <si>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</si>
  <si>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</si>
  <si>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</si>
  <si>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</si>
  <si>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</si>
  <si>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</si>
  <si>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</si>
  <si>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</si>
  <si>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</si>
  <si>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</si>
  <si>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</si>
  <si>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</si>
  <si>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</si>
  <si>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</si>
  <si>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</si>
  <si>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</si>
  <si>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</si>
  <si>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</si>
  <si>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</si>
  <si>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</si>
  <si>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</si>
  <si>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</si>
  <si>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</si>
  <si>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</si>
  <si>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</si>
  <si>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</si>
  <si>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</si>
  <si>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</si>
  <si>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</si>
  <si>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</si>
  <si>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</si>
  <si>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</si>
  <si>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</si>
  <si>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</si>
  <si>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</si>
  <si>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</si>
  <si>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</si>
  <si>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</si>
  <si>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</si>
  <si>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</si>
  <si>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</si>
  <si>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</si>
  <si>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</si>
  <si>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</si>
  <si>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</si>
  <si>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</si>
  <si>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</si>
  <si>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</si>
  <si>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</si>
  <si>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</si>
  <si>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</si>
  <si>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</si>
  <si>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</si>
  <si>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</si>
  <si>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</si>
  <si>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</si>
  <si>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</si>
  <si>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</si>
  <si>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</si>
  <si>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</si>
  <si>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</si>
  <si>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</si>
  <si>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</si>
  <si>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</si>
  <si>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</si>
  <si>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</si>
  <si>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</si>
  <si>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</si>
  <si>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</si>
  <si>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</si>
  <si>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</si>
  <si>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</si>
  <si>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</si>
  <si>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</si>
  <si>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</si>
  <si>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</si>
  <si>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</si>
  <si>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</si>
  <si>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</si>
  <si>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</si>
  <si>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</si>
  <si>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</si>
  <si>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</si>
  <si>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</si>
  <si>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</si>
  <si>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</si>
  <si>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</si>
  <si>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</si>
  <si>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</si>
  <si>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</si>
  <si>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</si>
  <si>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</si>
  <si>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</si>
  <si>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</si>
  <si>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</si>
  <si>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</si>
  <si>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</si>
  <si>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</si>
  <si>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</si>
  <si>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</si>
  <si>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</si>
  <si>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</si>
  <si>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</si>
  <si>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</si>
  <si>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</si>
  <si>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</si>
  <si>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</si>
  <si>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</si>
  <si>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</si>
  <si>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</si>
  <si>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</si>
  <si>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</si>
  <si>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</si>
  <si>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</si>
  <si>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</si>
  <si>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</si>
  <si>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</si>
  <si>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</si>
  <si>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</si>
  <si>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</si>
  <si>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</si>
  <si>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</si>
  <si>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</si>
  <si>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</si>
  <si>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</si>
  <si>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</si>
  <si>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</si>
  <si>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</si>
  <si>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</si>
  <si>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</si>
  <si>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</si>
  <si>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</si>
  <si>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</si>
  <si>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</si>
  <si>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</si>
  <si>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</si>
  <si>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</si>
  <si>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</si>
  <si>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</si>
  <si>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</si>
  <si>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</si>
  <si>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</si>
  <si>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</si>
  <si>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</si>
  <si>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</si>
  <si>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</si>
  <si>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</si>
  <si>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</si>
  <si>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</si>
  <si>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</si>
  <si>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</si>
  <si>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</si>
  <si>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</si>
  <si>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</si>
  <si>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</si>
  <si>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</si>
  <si>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</si>
  <si>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</si>
  <si>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</si>
  <si>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</si>
  <si>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</si>
  <si>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</si>
  <si>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</si>
  <si>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</si>
  <si>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</si>
  <si>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</si>
  <si>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</si>
  <si>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</si>
  <si>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</si>
  <si>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</si>
  <si>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</si>
  <si>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</si>
  <si>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</si>
  <si>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</si>
  <si>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</si>
  <si>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</si>
  <si>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</si>
  <si>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</si>
  <si>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</si>
  <si>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</si>
  <si>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</si>
  <si>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</si>
  <si>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</si>
  <si>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</si>
  <si>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</si>
  <si>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</si>
  <si>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</si>
  <si>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</si>
  <si>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</si>
  <si>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</si>
  <si>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</si>
  <si>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</si>
  <si>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</si>
  <si>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</si>
  <si>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</si>
  <si>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</si>
  <si>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</si>
  <si>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</si>
  <si>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</si>
  <si>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</si>
  <si>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</si>
  <si>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</si>
  <si>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</si>
  <si>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</si>
  <si>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</si>
  <si>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</si>
  <si>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</si>
  <si>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</si>
  <si>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</si>
  <si>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</si>
  <si>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</si>
  <si>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</si>
  <si>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</si>
  <si>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</si>
  <si>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</si>
  <si>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</si>
  <si>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</si>
  <si>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</si>
  <si>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</si>
  <si>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</si>
  <si>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</si>
  <si>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</si>
  <si>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</si>
  <si>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</si>
  <si>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</si>
  <si>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</si>
  <si>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</si>
  <si>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</si>
  <si>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</si>
  <si>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</si>
  <si>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</si>
  <si>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</si>
  <si>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</si>
  <si>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</si>
  <si>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</si>
  <si>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</si>
  <si>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</si>
  <si>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</si>
  <si>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</si>
  <si>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</si>
  <si>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</si>
  <si>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</si>
  <si>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</si>
  <si>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</si>
  <si>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</si>
  <si>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</si>
  <si>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</si>
  <si>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</si>
  <si>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</si>
  <si>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</si>
  <si>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</si>
  <si>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</si>
  <si>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</si>
  <si>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</si>
  <si>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</si>
  <si>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</si>
  <si>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</si>
  <si>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</si>
  <si>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</si>
  <si>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</si>
  <si>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</si>
  <si>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</si>
  <si>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</si>
  <si>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</si>
  <si>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</si>
  <si>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</si>
  <si>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</si>
  <si>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</si>
  <si>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</si>
  <si>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</si>
  <si>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</si>
  <si>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</si>
  <si>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</si>
  <si>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</si>
  <si>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</si>
  <si>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</si>
  <si>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</si>
  <si>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</si>
  <si>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</si>
  <si>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</si>
  <si>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</si>
  <si>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</si>
  <si>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</si>
  <si>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</si>
  <si>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</si>
  <si>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</si>
  <si>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</si>
  <si>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</si>
  <si>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</si>
  <si>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</si>
  <si>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</si>
  <si>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</si>
  <si>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</si>
  <si>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</si>
  <si>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</si>
  <si>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</si>
  <si>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</si>
  <si>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</si>
  <si>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</si>
  <si>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</si>
  <si>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</si>
  <si>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</si>
  <si>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</si>
  <si>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</si>
  <si>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</si>
  <si>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</si>
  <si>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</si>
  <si>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</si>
  <si>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</si>
  <si>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</si>
  <si>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</si>
  <si>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</si>
  <si>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</si>
  <si>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</si>
  <si>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</si>
  <si>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</si>
  <si>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</si>
  <si>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</si>
  <si>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</si>
  <si>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</si>
  <si>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</si>
  <si>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</si>
  <si>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</si>
  <si>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</si>
  <si>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</si>
  <si>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</si>
  <si>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</si>
  <si>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</si>
  <si>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</si>
  <si>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</si>
  <si>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</si>
  <si>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</si>
  <si>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</si>
  <si>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</si>
  <si>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</si>
  <si>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</si>
  <si>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</si>
  <si>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</si>
  <si>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</si>
  <si>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</si>
  <si>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</si>
  <si>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</si>
  <si>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</si>
  <si>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</si>
  <si>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</si>
  <si>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</si>
  <si>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</si>
  <si>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</si>
  <si>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</si>
  <si>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</si>
  <si>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</si>
  <si>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</si>
  <si>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</si>
  <si>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</si>
  <si>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</si>
  <si>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</si>
  <si>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</si>
  <si>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</si>
  <si>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</si>
  <si>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</si>
  <si>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</si>
  <si>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</si>
  <si>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</si>
  <si>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</si>
  <si>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</si>
  <si>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</si>
  <si>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</si>
  <si>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</si>
  <si>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</si>
  <si>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</si>
  <si>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</si>
  <si>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</si>
  <si>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</si>
  <si>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</si>
  <si>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</si>
  <si>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</si>
  <si>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</si>
  <si>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</si>
  <si>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</si>
  <si>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</si>
  <si>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</si>
  <si>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</si>
  <si>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</si>
  <si>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</si>
  <si>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</si>
  <si>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</si>
  <si>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</si>
  <si>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</si>
  <si>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</si>
  <si>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</si>
  <si>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</si>
  <si>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</si>
  <si>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</si>
  <si>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</si>
  <si>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</si>
  <si>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</si>
  <si>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</si>
  <si>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</si>
  <si>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</si>
  <si>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</si>
  <si>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</si>
  <si>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</si>
  <si>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</si>
  <si>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</si>
  <si>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</si>
  <si>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</si>
  <si>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</si>
  <si>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</si>
  <si>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</si>
  <si>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</si>
  <si>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</si>
  <si>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</si>
  <si>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</si>
  <si>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</si>
  <si>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</si>
  <si>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</si>
  <si>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</si>
  <si>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</si>
  <si>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</si>
  <si>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</si>
  <si>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</si>
  <si>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</si>
  <si>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</si>
  <si>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</si>
  <si>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</si>
  <si>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</si>
  <si>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</si>
  <si>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</si>
  <si>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</si>
  <si>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</si>
  <si>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</si>
  <si>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</si>
  <si>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</si>
  <si>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</si>
  <si>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</si>
  <si>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</si>
  <si>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</si>
  <si>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</si>
  <si>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</si>
  <si>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</si>
  <si>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</si>
  <si>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</si>
  <si>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</si>
  <si>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</si>
  <si>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</si>
  <si>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</si>
  <si>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</si>
  <si>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</si>
  <si>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</si>
  <si>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</si>
  <si>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</si>
  <si>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</si>
  <si>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</si>
  <si>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</si>
  <si>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</si>
  <si>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</si>
  <si>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</si>
  <si>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</si>
  <si>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</si>
  <si>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</si>
  <si>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</si>
  <si>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</si>
  <si>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</si>
  <si>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</si>
  <si>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</si>
  <si>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</si>
  <si>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</si>
  <si>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</si>
  <si>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</si>
  <si>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</si>
  <si>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</si>
  <si>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</si>
  <si>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</si>
  <si>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</si>
  <si>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</si>
  <si>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</si>
  <si>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</si>
  <si>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</si>
  <si>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</si>
  <si>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</si>
  <si>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</si>
  <si>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</si>
  <si>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</si>
  <si>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</si>
  <si>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</si>
  <si>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</si>
  <si>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</si>
  <si>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</si>
  <si>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</si>
  <si>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</si>
  <si>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</si>
  <si>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</si>
  <si>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</si>
  <si>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</si>
  <si>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</si>
  <si>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</si>
  <si>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</si>
  <si>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</si>
  <si>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</si>
  <si>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</si>
  <si>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</si>
  <si>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</si>
  <si>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</si>
  <si>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</si>
  <si>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</si>
  <si>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</si>
  <si>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</si>
  <si>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</si>
  <si>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</si>
  <si>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</si>
  <si>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</si>
  <si>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</si>
  <si>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</si>
  <si>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</si>
  <si>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</si>
  <si>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</si>
  <si>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</si>
  <si>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</si>
  <si>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</si>
  <si>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</si>
  <si>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</si>
  <si>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</si>
  <si>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</si>
  <si>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</si>
  <si>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</si>
  <si>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</si>
  <si>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</si>
  <si>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</si>
  <si>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</si>
  <si>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</si>
  <si>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</si>
  <si>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</si>
  <si>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</si>
  <si>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</si>
  <si>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</si>
  <si>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</si>
  <si>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</si>
  <si>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</si>
  <si>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</si>
  <si>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</si>
  <si>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</si>
  <si>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</si>
  <si>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</si>
  <si>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</si>
  <si>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</si>
  <si>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</si>
  <si>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</si>
  <si>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</si>
  <si>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</si>
  <si>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</si>
  <si>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</si>
  <si>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</si>
  <si>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</si>
  <si>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</si>
  <si>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</si>
  <si>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</si>
  <si>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</si>
  <si>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</si>
  <si>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</si>
  <si>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</si>
  <si>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</si>
  <si>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</si>
  <si>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</si>
  <si>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</si>
  <si>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</si>
  <si>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</si>
  <si>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</si>
  <si>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</si>
  <si>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</si>
  <si>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</si>
  <si>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</si>
  <si>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</si>
  <si>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</si>
  <si>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</si>
  <si>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</si>
  <si>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</si>
  <si>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</si>
  <si>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</si>
  <si>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</si>
  <si>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</si>
  <si>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</si>
  <si>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</si>
  <si>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</si>
  <si>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</si>
  <si>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</si>
  <si>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</si>
  <si>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</si>
  <si>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</si>
  <si>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</si>
  <si>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</si>
  <si>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</si>
  <si>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</si>
  <si>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</si>
  <si>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</si>
  <si>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</si>
  <si>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</si>
  <si>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</si>
  <si>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</si>
  <si>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</si>
  <si>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</si>
  <si>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</si>
  <si>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</si>
  <si>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</si>
  <si>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</si>
  <si>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</si>
  <si>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</si>
  <si>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</si>
  <si>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</si>
  <si>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</si>
  <si>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</si>
  <si>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</si>
  <si>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</si>
  <si>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</si>
  <si>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</si>
  <si>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</si>
  <si>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</si>
  <si>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</si>
  <si>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</si>
  <si>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</si>
  <si>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</si>
  <si>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</si>
  <si>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</si>
  <si>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</si>
  <si>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</si>
  <si>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</si>
  <si>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</si>
  <si>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</si>
  <si>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</si>
  <si>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</si>
  <si>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</si>
  <si>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</si>
  <si>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</si>
  <si>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</si>
  <si>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</si>
  <si>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</si>
  <si>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</si>
  <si>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</si>
  <si>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</si>
  <si>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</si>
  <si>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</si>
  <si>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</si>
  <si>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</si>
  <si>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</si>
  <si>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</si>
  <si>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</si>
  <si>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</si>
  <si>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</si>
  <si>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</si>
  <si>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</si>
  <si>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</si>
  <si>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</si>
  <si>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</si>
  <si>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</si>
  <si>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</si>
  <si>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</si>
  <si>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</si>
  <si>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</si>
  <si>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</si>
  <si>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</si>
  <si>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</si>
  <si>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</si>
  <si>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</si>
  <si>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</si>
  <si>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</si>
  <si>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</si>
  <si>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</si>
  <si>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</si>
  <si>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</si>
  <si>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</si>
  <si>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</si>
  <si>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</si>
  <si>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</si>
  <si>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</si>
  <si>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</si>
  <si>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</si>
  <si>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</si>
  <si>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</si>
  <si>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</si>
  <si>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</si>
  <si>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</si>
  <si>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</si>
  <si>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</si>
  <si>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</si>
  <si>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</si>
  <si>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</si>
  <si>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</si>
  <si>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</si>
  <si>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</si>
  <si>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</si>
  <si>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</si>
  <si>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</si>
  <si>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</si>
  <si>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</si>
  <si>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</si>
  <si>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</si>
  <si>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</si>
  <si>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</si>
  <si>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</si>
  <si>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</si>
  <si>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</si>
  <si>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</si>
  <si>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</si>
  <si>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</si>
  <si>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</si>
  <si>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</si>
  <si>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</si>
  <si>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</si>
  <si>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</si>
  <si>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</si>
  <si>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</si>
  <si>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</si>
  <si>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</si>
  <si>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</si>
  <si>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</si>
  <si>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</si>
  <si>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</si>
  <si>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</si>
  <si>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</si>
  <si>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</si>
  <si>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</si>
  <si>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</si>
  <si>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</si>
  <si>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</si>
  <si>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</si>
  <si>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</si>
  <si>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</si>
  <si>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</si>
  <si>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</si>
  <si>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</si>
  <si>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</si>
  <si>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</si>
  <si>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</si>
  <si>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</si>
  <si>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</si>
  <si>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</si>
  <si>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</si>
  <si>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</si>
  <si>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</si>
  <si>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</si>
  <si>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</si>
  <si>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</si>
  <si>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</si>
  <si>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</si>
  <si>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</si>
  <si>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</si>
  <si>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</si>
  <si>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</si>
  <si>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</si>
  <si>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</si>
  <si>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</si>
  <si>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</si>
  <si>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</si>
  <si>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</si>
  <si>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</si>
  <si>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</si>
  <si>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</si>
  <si>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</si>
  <si>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</si>
  <si>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</si>
  <si>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</si>
  <si>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</si>
  <si>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</si>
  <si>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</si>
  <si>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</si>
  <si>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</si>
  <si>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</si>
  <si>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</si>
  <si>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</si>
  <si>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</si>
  <si>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</si>
  <si>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</si>
  <si>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</si>
  <si>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</si>
  <si>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</si>
  <si>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</si>
  <si>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</si>
  <si>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</si>
  <si>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</si>
  <si>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</si>
  <si>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</si>
  <si>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</si>
  <si>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</si>
  <si>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</si>
  <si>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</si>
  <si>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</si>
  <si>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</si>
  <si>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</si>
  <si>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</si>
  <si>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</si>
  <si>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</si>
  <si>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</si>
  <si>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</si>
  <si>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</si>
  <si>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</si>
  <si>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</si>
  <si>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</si>
  <si>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</si>
  <si>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</si>
  <si>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</si>
  <si>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</si>
  <si>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</si>
  <si>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</si>
  <si>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</si>
  <si>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</si>
  <si>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</si>
  <si>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</si>
  <si>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</si>
  <si>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</si>
  <si>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</si>
  <si>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</si>
  <si>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</si>
  <si>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</si>
  <si>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</si>
  <si>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</si>
  <si>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</si>
  <si>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</si>
  <si>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</si>
  <si>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</si>
  <si>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</si>
  <si>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</si>
  <si>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</si>
  <si>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</si>
  <si>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</si>
  <si>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</si>
  <si>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</si>
  <si>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</si>
  <si>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</si>
  <si>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</si>
  <si>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</si>
  <si>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</si>
  <si>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</si>
  <si>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</si>
  <si>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</si>
  <si>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</si>
  <si>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</si>
  <si>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</si>
  <si>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</si>
  <si>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</si>
  <si>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</si>
  <si>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</si>
  <si>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</si>
  <si>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</si>
  <si>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</si>
  <si>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</si>
  <si>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</si>
  <si>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</si>
  <si>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</si>
  <si>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</si>
  <si>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</si>
  <si>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</si>
  <si>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</si>
  <si>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</si>
  <si>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</si>
  <si>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</si>
  <si>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</si>
  <si>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</si>
  <si>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</si>
  <si>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</si>
  <si>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</si>
  <si>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</si>
  <si>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</si>
  <si>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</si>
  <si>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</si>
  <si>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</si>
  <si>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</si>
  <si>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</si>
  <si>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</si>
  <si>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</si>
  <si>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</si>
  <si>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</si>
  <si>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</si>
  <si>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</si>
  <si>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</si>
  <si>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</si>
  <si>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</si>
  <si>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</si>
  <si>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</si>
  <si>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</si>
  <si>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</si>
  <si>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</si>
  <si>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</si>
  <si>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</si>
  <si>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</si>
  <si>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</si>
  <si>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</si>
  <si>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</si>
  <si>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</si>
  <si>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</si>
  <si>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</si>
  <si>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</si>
  <si>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</si>
  <si>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</si>
  <si>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</si>
  <si>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</si>
  <si>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</si>
  <si>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</si>
  <si>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</si>
  <si>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</si>
  <si>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</si>
  <si>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</si>
  <si>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</si>
  <si>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</si>
  <si>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</si>
  <si>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</si>
  <si>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</si>
  <si>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</si>
  <si>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</si>
  <si>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</si>
  <si>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</si>
  <si>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</si>
  <si>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</si>
  <si>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</si>
  <si>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</si>
  <si>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</si>
  <si>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</si>
  <si>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</si>
  <si>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</si>
  <si>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</si>
  <si>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</si>
  <si>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</si>
  <si>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</si>
  <si>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</si>
  <si>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</si>
  <si>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</si>
  <si>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</si>
  <si>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</si>
  <si>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</si>
  <si>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</si>
  <si>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</si>
  <si>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</si>
  <si>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</si>
  <si>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</si>
  <si>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</si>
  <si>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</si>
  <si>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</si>
  <si>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</si>
  <si>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</si>
  <si>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</si>
  <si>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</si>
  <si>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</si>
  <si>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</si>
  <si>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</si>
  <si>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</si>
  <si>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</si>
  <si>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</si>
  <si>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</si>
  <si>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</si>
  <si>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</si>
  <si>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</si>
  <si>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</si>
  <si>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</si>
  <si>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</si>
  <si>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</si>
  <si>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</si>
  <si>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</si>
  <si>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</si>
  <si>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</si>
  <si>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</si>
  <si>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</si>
  <si>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</si>
  <si>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</si>
  <si>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</si>
  <si>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</si>
  <si>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</si>
  <si>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</si>
  <si>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</si>
  <si>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</si>
  <si>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</si>
  <si>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</si>
  <si>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</si>
  <si>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</si>
  <si>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</si>
  <si>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</si>
  <si>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</si>
  <si>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</si>
  <si>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</si>
  <si>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</si>
  <si>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</si>
  <si>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</si>
  <si>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</si>
  <si>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</si>
  <si>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</si>
  <si>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</si>
  <si>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</si>
  <si>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</si>
  <si>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</si>
  <si>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</si>
  <si>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</si>
  <si>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</si>
  <si>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</si>
  <si>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</si>
  <si>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</si>
  <si>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</si>
  <si>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</si>
  <si>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</si>
  <si>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</si>
  <si>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</si>
  <si>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</si>
  <si>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</si>
  <si>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</si>
  <si>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</si>
  <si>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</si>
  <si>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</si>
  <si>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</si>
  <si>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</si>
  <si>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</si>
  <si>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</si>
  <si>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</si>
  <si>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</si>
  <si>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</si>
  <si>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</si>
  <si>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</si>
  <si>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</si>
  <si>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</si>
  <si>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</si>
  <si>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</si>
  <si>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</si>
  <si>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</si>
  <si>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</si>
  <si>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</si>
  <si>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</si>
  <si>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</si>
  <si>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</si>
  <si>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</si>
  <si>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</si>
  <si>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</si>
  <si>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</si>
  <si>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</si>
  <si>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</si>
  <si>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</si>
  <si>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</si>
  <si>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</si>
  <si>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</si>
  <si>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</si>
  <si>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</si>
  <si>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</si>
  <si>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</si>
  <si>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</si>
  <si>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</si>
  <si>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</si>
  <si>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</si>
  <si>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</si>
  <si>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</si>
  <si>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</si>
  <si>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</si>
  <si>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</si>
  <si>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</si>
  <si>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</si>
  <si>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</si>
  <si>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</si>
  <si>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</si>
  <si>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</si>
  <si>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</si>
  <si>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</si>
  <si>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</si>
  <si>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</si>
  <si>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</si>
  <si>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</si>
  <si>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</si>
  <si>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</si>
  <si>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</si>
  <si>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</si>
  <si>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</si>
  <si>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</si>
  <si>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</si>
  <si>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</si>
  <si>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</si>
  <si>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</si>
  <si>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</si>
  <si>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</si>
  <si>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</si>
  <si>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</si>
  <si>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</si>
  <si>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</si>
  <si>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</si>
  <si>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</si>
  <si>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</si>
  <si>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</si>
  <si>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</si>
  <si>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</si>
  <si>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</si>
  <si>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</si>
  <si>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</si>
  <si>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</si>
  <si>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</si>
  <si>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</si>
  <si>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</si>
  <si>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</si>
  <si>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</si>
  <si>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</si>
  <si>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</si>
  <si>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</si>
  <si>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</si>
  <si>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</si>
  <si>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</si>
  <si>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</si>
  <si>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</si>
  <si>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</si>
  <si>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</si>
  <si>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</si>
  <si>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</si>
  <si>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</si>
  <si>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</si>
  <si>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</si>
  <si>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</si>
  <si>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</si>
  <si>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</si>
  <si>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</si>
  <si>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</si>
  <si>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</si>
  <si>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</si>
  <si>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</si>
  <si>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</si>
  <si>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</si>
  <si>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</si>
  <si>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</si>
  <si>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</si>
  <si>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</si>
  <si>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</si>
  <si>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</si>
  <si>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</si>
  <si>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</si>
  <si>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</si>
  <si>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</si>
  <si>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</si>
  <si>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</si>
  <si>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</si>
  <si>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</si>
  <si>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</si>
  <si>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</si>
  <si>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</si>
  <si>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</si>
  <si>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</si>
  <si>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</si>
  <si>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</si>
  <si>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</si>
  <si>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</si>
  <si>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</si>
  <si>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</si>
  <si>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</si>
  <si>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</si>
  <si>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</si>
  <si>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</si>
  <si>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</si>
  <si>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</si>
  <si>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</si>
  <si>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</si>
  <si>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</si>
  <si>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</si>
  <si>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</si>
  <si>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</si>
  <si>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</si>
  <si>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</si>
  <si>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</si>
  <si>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</si>
  <si>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</si>
  <si>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</si>
  <si>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</si>
  <si>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</si>
  <si>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</si>
  <si>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</si>
  <si>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</si>
  <si>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</si>
  <si>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</si>
  <si>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</si>
  <si>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</si>
  <si>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</si>
  <si>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</si>
  <si>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</si>
  <si>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</si>
  <si>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</si>
  <si>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</si>
  <si>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</si>
  <si>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</si>
  <si>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</si>
  <si>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</si>
  <si>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</si>
  <si>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</si>
  <si>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</si>
  <si>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</si>
  <si>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</si>
  <si>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</si>
  <si>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</si>
  <si>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</si>
  <si>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</si>
  <si>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</si>
  <si>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</si>
  <si>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</si>
  <si>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</si>
  <si>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</si>
  <si>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</si>
  <si>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</si>
  <si>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</si>
  <si>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</si>
  <si>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</si>
  <si>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</si>
  <si>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</si>
  <si>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</si>
  <si>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</si>
  <si>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</si>
  <si>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</si>
  <si>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</si>
  <si>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</si>
  <si>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</si>
  <si>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</si>
  <si>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</si>
  <si>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</si>
  <si>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</si>
  <si>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</si>
  <si>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</si>
  <si>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</si>
  <si>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</si>
  <si>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</si>
  <si>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</si>
  <si>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</si>
  <si>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</si>
  <si>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</si>
  <si>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</si>
  <si>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</si>
  <si>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</si>
  <si>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</si>
  <si>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</si>
  <si>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</si>
  <si>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</si>
  <si>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</si>
  <si>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</si>
  <si>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</si>
  <si>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</si>
  <si>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</si>
  <si>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</si>
  <si>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</si>
  <si>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</si>
  <si>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</si>
  <si>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</si>
  <si>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</si>
  <si>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</si>
  <si>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</si>
  <si>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</si>
  <si>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</si>
  <si>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</si>
  <si>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</si>
  <si>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</si>
  <si>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</si>
  <si>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</si>
  <si>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</si>
  <si>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</si>
  <si>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</si>
  <si>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</si>
  <si>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</si>
  <si>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</si>
  <si>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</si>
  <si>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</si>
  <si>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</si>
  <si>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</si>
  <si>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</si>
  <si>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</si>
  <si>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</si>
  <si>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</si>
  <si>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</si>
  <si>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</si>
  <si>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</si>
  <si>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</si>
  <si>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</si>
  <si>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</si>
  <si>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</si>
  <si>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</si>
  <si>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</si>
  <si>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</si>
  <si>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</si>
  <si>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</si>
  <si>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</si>
  <si>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</si>
  <si>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</si>
  <si>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</si>
  <si>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</si>
  <si>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</si>
  <si>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</si>
  <si>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</si>
  <si>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</si>
  <si>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</si>
  <si>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</si>
  <si>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</si>
  <si>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</si>
  <si>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</si>
  <si>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</si>
  <si>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</si>
  <si>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</si>
  <si>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</si>
  <si>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</si>
  <si>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</si>
  <si>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</si>
  <si>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</si>
  <si>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</si>
  <si>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</si>
  <si>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</si>
  <si>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</si>
  <si>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</si>
  <si>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</si>
  <si>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</si>
  <si>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</si>
  <si>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</si>
  <si>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</si>
  <si>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</si>
  <si>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</si>
  <si>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</si>
  <si>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</si>
  <si>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</si>
  <si>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</si>
  <si>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</si>
  <si>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</si>
  <si>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</si>
  <si>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</si>
  <si>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</si>
  <si>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Interflux® Electronics NV</t>
  </si>
  <si>
    <t>Interflux Products</t>
  </si>
  <si>
    <t>Peeters Annick</t>
  </si>
  <si>
    <t>reach@interflux.com</t>
  </si>
  <si>
    <t>+3292514959</t>
  </si>
  <si>
    <t>Executive Director - Reach coordinator</t>
  </si>
  <si>
    <t>a.peeters@interflux.com</t>
  </si>
  <si>
    <t>+32478201207</t>
  </si>
  <si>
    <t>All Interflux Leadfree and Leadcontaining Solderpastes, Solderwires, Solderbars.</t>
  </si>
  <si>
    <t># packaging, # types, # diameters</t>
  </si>
  <si>
    <t>Recycled material</t>
  </si>
  <si>
    <t>100%</t>
  </si>
  <si>
    <t>interflux.com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</si>
</sst>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ach@interflu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eeters@interflu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E3AB04-4DDD-4A08-A739-C2DFDAB07B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9CEC67-F6C7-48C3-85FF-4134962A4F8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Site Internet du RMI: (www.responsiblemineralsinitiative.org) _x000D_
Formations, recommandations, modèles, liste des fonderies conformes au programme fonderie sans conflit</v>
      </c>
      <c r="B1" s="97" t="s">
        <v>427</v>
      </c>
    </row>
    <row r="2" spans="1:2" ht="30">
      <c r="A2" s="102" t="str">
        <f ca="1">OFFSET(L!$C$1,MATCH("Instructions"&amp;ADDRESS(ROW(),COLUMN(),4),L!$A:$A,0)-1,SL,,)</f>
        <v>Introduction</v>
      </c>
      <c r="B2" s="97" t="s">
        <v>1258</v>
      </c>
    </row>
    <row r="3" spans="1:2" ht="165">
      <c r="A3" s="99"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97" t="s">
        <v>1259</v>
      </c>
    </row>
    <row r="4" spans="1:2" ht="222.6" customHeight="1">
      <c r="A4" s="99"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97" t="s">
        <v>1265</v>
      </c>
    </row>
    <row r="5" spans="1:2" ht="15">
      <c r="A5" s="103"/>
      <c r="B5" s="97"/>
    </row>
    <row r="6" spans="1:2" ht="30">
      <c r="A6" s="102" t="str">
        <f ca="1">OFFSET(L!$C$1,MATCH("Instructions"&amp;ADDRESS(ROW(),COLUMN(),4),L!$A:$A,0)-1,SL,,)</f>
        <v>Instructions pour compléter les informations relatives à votre entreprise (lignes 8 - 22). Merci de répondre en anglais uniquement.</v>
      </c>
      <c r="B6" s="97" t="s">
        <v>1258</v>
      </c>
    </row>
    <row r="7" spans="1:2" ht="15">
      <c r="A7" s="220" t="str">
        <f ca="1">OFFSET(L!$C$1,MATCH("Instructions"&amp;ADDRESS(ROW(),COLUMN(),4),L!$A:$A,0)-1,SL,,)</f>
        <v>Remarque : les astérisques (*) marquent des champs obligatoires</v>
      </c>
      <c r="B7" s="97"/>
    </row>
    <row r="8" spans="1:2" ht="30">
      <c r="A8" s="99" t="str">
        <f ca="1">OFFSET(L!$C$1,MATCH("Instructions"&amp;ADDRESS(ROW(),COLUMN(),4),L!$A:$A,0)-1,SL,,)</f>
        <v>1. Insérez la dénomination sociale de votre société. Merci de ne pas utiliser d’abréviations. Dans ce champ, vous avez la possibilité d’ajouter d’autres noms commerciaux, raisons sociales, etc.</v>
      </c>
      <c r="B8" s="97"/>
    </row>
    <row r="9" spans="1:2" ht="405.6" customHeight="1">
      <c r="A9" s="141" t="str">
        <f ca="1">OFFSET(L!$C$1,MATCH("Instructions"&amp;ADDRESS(ROW(),COLUMN(),4),L!$A:$A,0)-1,SL,,)</f>
        <v>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v>
      </c>
      <c r="B9" s="97" t="s">
        <v>1257</v>
      </c>
    </row>
    <row r="10" spans="1:2" ht="36" customHeight="1">
      <c r="A10" s="99" t="str">
        <f ca="1">OFFSET(L!$C$1,MATCH("Instructions"&amp;ADDRESS(ROW(),COLUMN(),4),L!$A:$A,0)-1,SL,,)</f>
        <v>3. Indiquer un identifiant unique de votre entreprise (numéro DUNS, numéro TVA, etc…)</v>
      </c>
      <c r="B10" s="97"/>
    </row>
    <row r="11" spans="1:2" ht="35.25" customHeight="1">
      <c r="A11" s="99" t="str">
        <f ca="1">OFFSET(L!$C$1,MATCH("Instructions"&amp;ADDRESS(ROW(),COLUMN(),4),L!$A:$A,0)-1,SL,,)</f>
        <v>4. Indiquer le type d'identifiant utilisé (numéro DUNS, numéro TVA, etc…)</v>
      </c>
      <c r="B11" s="97"/>
    </row>
    <row r="12" spans="1:2" ht="30">
      <c r="A12" s="99" t="str">
        <f ca="1">OFFSET(L!$C$1,MATCH("Instructions"&amp;ADDRESS(ROW(),COLUMN(),4),L!$A:$A,0)-1,SL,,)</f>
        <v>5. Indiquer l’adresse complète de votre entreprise (rue, ville, pays, code postal,…). Ce champ est optionnel.</v>
      </c>
      <c r="B12" s="97" t="s">
        <v>1258</v>
      </c>
    </row>
    <row r="13" spans="1:2" ht="33.75" customHeight="1">
      <c r="A13" s="99" t="str">
        <f ca="1">OFFSET(L!$C$1,MATCH("Instructions"&amp;ADDRESS(ROW(),COLUMN(),4),L!$A:$A,0)-1,SL,,)</f>
        <v>6. Indiquer le nom de la personne à contacter concernant le contenu de votre déclaration. Ce champ est obligatoire.</v>
      </c>
      <c r="B13" s="97"/>
    </row>
    <row r="14" spans="1:2" ht="30">
      <c r="A14" s="99"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97"/>
    </row>
    <row r="15" spans="1:2" ht="25.5" customHeight="1">
      <c r="A15" s="99" t="str">
        <f ca="1">OFFSET(L!$C$1,MATCH("Instructions"&amp;ADDRESS(ROW(),COLUMN(),4),L!$A:$A,0)-1,SL,,)</f>
        <v>8. Indiquer le numéro de téléphone de la personne à contacter. Ce champ est obligatoire.</v>
      </c>
      <c r="B15" s="97"/>
    </row>
    <row r="16" spans="1:2" ht="45">
      <c r="A16" s="99"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97"/>
    </row>
    <row r="17" spans="1:2" ht="15">
      <c r="A17" s="99" t="str">
        <f ca="1">OFFSET(L!$C$1,MATCH("Instructions"&amp;ADDRESS(ROW(),COLUMN(),4),L!$A:$A,0)-1,SL,,)</f>
        <v>10. Indiquer le titre de la personne responsable. Ce champ est facultatif.</v>
      </c>
      <c r="B17" s="97"/>
    </row>
    <row r="18" spans="1:2" ht="30">
      <c r="A18" s="99"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97"/>
    </row>
    <row r="19" spans="1:2" ht="15">
      <c r="A19" s="99" t="str">
        <f ca="1">OFFSET(L!$C$1,MATCH("Instructions"&amp;ADDRESS(ROW(),COLUMN(),4),L!$A:$A,0)-1,SL,,)</f>
        <v>12. Insérez le numéro de téléphone pour la personne donnant l’autorisation. Ce champ est facultatif.</v>
      </c>
      <c r="B19" s="97"/>
    </row>
    <row r="20" spans="1:2" ht="33.75" customHeight="1">
      <c r="A20" s="99" t="str">
        <f ca="1">OFFSET(L!$C$1,MATCH("Instructions"&amp;ADDRESS(ROW(),COLUMN(),4),L!$A:$A,0)-1,SL,,)</f>
        <v>13. Indiquer la date à laquelle vous avez complété ce rapport en utilisant le format suivant JJ-MM-AAAA. Ce champ est obligatoire.</v>
      </c>
      <c r="B20" s="97"/>
    </row>
    <row r="21" spans="1:2" ht="30">
      <c r="A21" s="99" t="str">
        <f ca="1">OFFSET(L!$C$1,MATCH("Instructions"&amp;ADDRESS(ROW(),COLUMN(),4),L!$A:$A,0)-1,SL,,)</f>
        <v>14. Le rapport peut par exemple être sauvegardé sous le nom suivant: nomdelentreprise-date.xls (date au format AAAA-MM-JJ).</v>
      </c>
      <c r="B21" s="97" t="s">
        <v>1258</v>
      </c>
    </row>
    <row r="22" spans="1:2" ht="15">
      <c r="A22" s="103"/>
      <c r="B22" s="97"/>
    </row>
    <row r="23" spans="1:2" ht="30">
      <c r="A23" s="102" t="str">
        <f ca="1">OFFSET(L!$C$1,MATCH("Instructions"&amp;ADDRESS(ROW(),COLUMN(),4),L!$A:$A,0)-1,SL,,)</f>
        <v>12. Insérez le numéro de téléphone pour la personne donnant l’autorisation. Ce champ est facultatif.</v>
      </c>
      <c r="B23" s="97" t="s">
        <v>1258</v>
      </c>
    </row>
    <row r="24" spans="1:2" ht="80.45" customHeight="1">
      <c r="A24" s="99"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97" t="s">
        <v>1261</v>
      </c>
    </row>
    <row r="25" spans="1:2" ht="72" customHeight="1">
      <c r="A25" s="99"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97" t="s">
        <v>1258</v>
      </c>
    </row>
    <row r="26" spans="1:2" ht="280.7" customHeight="1">
      <c r="A26" s="99"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97" t="s">
        <v>1258</v>
      </c>
    </row>
    <row r="27" spans="1:2" ht="30">
      <c r="A27" s="99" t="str">
        <f ca="1">OFFSET(L!$C$1,MATCH("Instructions"&amp;ADDRESS(ROW(),COLUMN(),4),L!$A:$A,0)-1,SL,,)</f>
        <v>Dans le cas d'une réponse négative, certaines entreprises peuvent exiger des justifications qui devront être saisies dans le champ de commentaire.</v>
      </c>
      <c r="B27" s="97" t="s">
        <v>1258</v>
      </c>
    </row>
    <row r="28" spans="1:2" ht="247.5" customHeight="1">
      <c r="A28" s="99"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97"/>
    </row>
    <row r="29" spans="1:2" ht="157.35" customHeight="1">
      <c r="A29" s="99"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v>
      </c>
      <c r="B29" s="97" t="s">
        <v>1258</v>
      </c>
    </row>
    <row r="30" spans="1:2" ht="181.7" customHeight="1">
      <c r="A30" s="99" t="str">
        <f ca="1">OFFSET(L!$C$1,MATCH("Instructions"&amp;ADDRESS(ROW(),COLUMN(),4),L!$A:$A,0)-1,SL,,)</f>
        <v>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v>
      </c>
      <c r="B30" s="97"/>
    </row>
    <row r="31" spans="1:2" ht="135">
      <c r="A31" s="99"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97" t="s">
        <v>1258</v>
      </c>
    </row>
    <row r="32" spans="1:2" ht="234.6" customHeight="1">
      <c r="A32" s="99"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97" t="s">
        <v>1261</v>
      </c>
    </row>
    <row r="33" spans="1:2" ht="75">
      <c r="A33" s="99"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97"/>
    </row>
    <row r="34" spans="1:2" ht="60">
      <c r="A34" s="99"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97" t="s">
        <v>1258</v>
      </c>
    </row>
    <row r="35" spans="1:2" ht="21" customHeight="1">
      <c r="A35" s="99" t="str">
        <f ca="1">OFFSET(L!$C$1,MATCH("Instructions"&amp;ADDRESS(ROW(),COLUMN(),4),L!$A:$A,0)-1,SL,,)</f>
        <v>Si nécessaire, merci d'inscrire vos commentaires dans la section prévue à cet effet afin de clarifier vos réponses</v>
      </c>
      <c r="B35" s="97"/>
    </row>
    <row r="36" spans="1:2" ht="15">
      <c r="A36" s="103"/>
      <c r="B36" s="97"/>
    </row>
    <row r="37" spans="1:2" ht="45">
      <c r="A37" s="102" t="str">
        <f ca="1">OFFSET(L!$C$1,MATCH("Instructions"&amp;ADDRESS(ROW(),COLUMN(),4),L!$A:$A,0)-1,SL,,)</f>
        <v>Instructions pour les questions A à H (lignes 75 à 89). Les questions A à H sont obligatoires, si la réponse à la question 1 est « oui » pour un métal._x000D_
Répondez en ANGLAIS uniquement</v>
      </c>
      <c r="B37" s="97" t="s">
        <v>1258</v>
      </c>
    </row>
    <row r="38" spans="1:2" ht="135">
      <c r="A38" s="99"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97" t="s">
        <v>1260</v>
      </c>
    </row>
    <row r="39" spans="1:2" ht="60">
      <c r="A39" s="99"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97"/>
    </row>
    <row r="40" spans="1:2" ht="65.45" customHeight="1">
      <c r="A40" s="99"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97"/>
    </row>
    <row r="41" spans="1:2" ht="75">
      <c r="A41" s="99"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97" t="s">
        <v>1263</v>
      </c>
    </row>
    <row r="42" spans="1:2" ht="180">
      <c r="A42" s="99"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97" t="s">
        <v>1261</v>
      </c>
    </row>
    <row r="43" spans="1:2" ht="150">
      <c r="A43" s="99"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97" t="s">
        <v>1262</v>
      </c>
    </row>
    <row r="44" spans="1:2" ht="135">
      <c r="A44" s="99"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97" t="s">
        <v>1258</v>
      </c>
    </row>
    <row r="45" spans="1:2" ht="120">
      <c r="A45" s="99"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97" t="s">
        <v>1259</v>
      </c>
    </row>
    <row r="46" spans="1:2" ht="85.5" customHeight="1">
      <c r="A46" s="99"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97" t="s">
        <v>1258</v>
      </c>
    </row>
    <row r="47" spans="1:2" ht="15">
      <c r="A47" s="103"/>
      <c r="B47" s="97"/>
    </row>
    <row r="48" spans="1:2" ht="30">
      <c r="A48" s="102" t="str">
        <f ca="1">OFFSET(L!$C$1,MATCH("Instructions"&amp;ADDRESS(ROW(),COLUMN(),4),L!$A:$A,0)-1,SL,,)</f>
        <v>Instructions pour compléter la liste des fonderies_x000D_
Merci de répondre en ANGLAIS uniquement</v>
      </c>
      <c r="B48" s="97" t="s">
        <v>1258</v>
      </c>
    </row>
    <row r="49" spans="1:2" ht="22.5" customHeight="1">
      <c r="A49" s="220" t="str">
        <f ca="1">OFFSET(L!$C$1,MATCH("Instructions"&amp;ADDRESS(ROW(),COLUMN(),4),L!$A:$A,0)-1,SL,,)</f>
        <v>Remarque: Les colonnes avec un astérisque (*) indiquent des champs obligatoires</v>
      </c>
      <c r="B49" s="97"/>
    </row>
    <row r="50" spans="1:2" ht="60">
      <c r="A50" s="99"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97" t="s">
        <v>1257</v>
      </c>
    </row>
    <row r="51" spans="1:2" ht="51" customHeight="1">
      <c r="A51" s="99"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97" t="s">
        <v>1258</v>
      </c>
    </row>
    <row r="52" spans="1:2" ht="44.45" customHeight="1">
      <c r="A52" s="99" t="str">
        <f ca="1">OFFSET(L!$C$1,MATCH("Instructions"&amp;ADDRESS(ROW(),COLUMN(),4),L!$A:$A,0)-1,SL,,)</f>
        <v>2. Métal (*) – Utiliser la liste déroulante pour sélectionner le métal pour lequel vous entrez l’information. Ce champ est obligatoire.</v>
      </c>
      <c r="B52" s="97"/>
    </row>
    <row r="53" spans="1:2" ht="78.95" customHeight="1">
      <c r="A53" s="149"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97" t="s">
        <v>1258</v>
      </c>
    </row>
    <row r="54" spans="1:2" ht="60">
      <c r="A54" s="99"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97" t="s">
        <v>1257</v>
      </c>
    </row>
    <row r="55" spans="1:2" ht="75">
      <c r="A55" s="99"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97" t="s">
        <v>1263</v>
      </c>
    </row>
    <row r="56" spans="1:2" ht="60">
      <c r="A56" s="99"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97" t="s">
        <v>1257</v>
      </c>
    </row>
    <row r="57" spans="1:2" ht="60">
      <c r="A57" s="99"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97" t="s">
        <v>1257</v>
      </c>
    </row>
    <row r="58" spans="1:2" ht="60">
      <c r="A58" s="99" t="str">
        <f ca="1">OFFSET(L!$C$1,MATCH("Instructions"&amp;ADDRESS(ROW(),COLUMN(),4),L!$A:$A,0)-1,SL,,)</f>
        <v>8. Rue de la fonderie – indique le nom de la rue où est située la fonderie. Ce champ est facultatif.</v>
      </c>
      <c r="B58" s="97" t="s">
        <v>1257</v>
      </c>
    </row>
    <row r="59" spans="1:2" ht="30">
      <c r="A59" s="99" t="str">
        <f ca="1">OFFSET(L!$C$1,MATCH("Instructions"&amp;ADDRESS(ROW(),COLUMN(),4),L!$A:$A,0)-1,SL,,)</f>
        <v>9. Ville de la fonderie – indique le nom de la ville où est située la fonderie. Ce champ est facultatif.</v>
      </c>
      <c r="B59" s="97" t="s">
        <v>1258</v>
      </c>
    </row>
    <row r="60" spans="1:2" ht="45" customHeight="1">
      <c r="A60" s="99" t="str">
        <f ca="1">OFFSET(L!$C$1,MATCH("Instructions"&amp;ADDRESS(ROW(),COLUMN(),4),L!$A:$A,0)-1,SL,,)</f>
        <v>10. Emplacement de la fonderie : État/province, le cas échéant – indique l’État ou la province où est située la fonderie. Ce champ est facultatif.</v>
      </c>
      <c r="B60" s="97" t="s">
        <v>1261</v>
      </c>
    </row>
    <row r="61" spans="1:2" ht="180">
      <c r="A61" s="99"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1" s="97" t="s">
        <v>1261</v>
      </c>
    </row>
    <row r="62" spans="1:2" ht="60">
      <c r="A62" s="99"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97" t="s">
        <v>1257</v>
      </c>
    </row>
    <row r="63" spans="1:2" ht="125.45" customHeight="1">
      <c r="A63" s="99"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97" t="s">
        <v>1257</v>
      </c>
    </row>
    <row r="64" spans="1:2" ht="136.35" customHeight="1">
      <c r="A64" s="99"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97"/>
    </row>
    <row r="65" spans="1:2" ht="90">
      <c r="A65" s="99"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97"/>
    </row>
    <row r="66" spans="1:2" ht="110.25" customHeight="1">
      <c r="A66" s="99" t="str">
        <f ca="1">OFFSET(L!$C$1,MATCH("Instructions"&amp;ADDRESS(ROW(),COLUMN(),4),L!$A:$A,0)-1,SL,,)</f>
        <v>16. Commentaires - Zone de texte pour indiquer tout commentaire relatif à la fonderie. Exemple: La fonderie a été achetée par l'entreprise YYY.</v>
      </c>
      <c r="B66" s="97"/>
    </row>
    <row r="67" spans="1:2" ht="15">
      <c r="A67" s="104"/>
      <c r="B67" s="97"/>
    </row>
    <row r="68" spans="1:2" ht="34.5" customHeight="1">
      <c r="A68" s="102" t="str">
        <f ca="1">OFFSET(L!$C$1,MATCH("Instructions"&amp;ADDRESS(ROW(),COLUMN(),4),L!$A:$A,0)-1,SL,,)</f>
        <v>CONDITIONS GENERALES</v>
      </c>
      <c r="B68" s="97"/>
    </row>
    <row r="69" spans="1:2" ht="15">
      <c r="A69" s="104"/>
      <c r="B69" s="97"/>
    </row>
    <row r="70" spans="1:2" ht="80.45" customHeight="1">
      <c r="A70" s="102"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97" t="s">
        <v>1258</v>
      </c>
    </row>
    <row r="71" spans="1:2" ht="93.6" customHeight="1">
      <c r="A71" s="220"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97" t="s">
        <v>1264</v>
      </c>
    </row>
    <row r="72" spans="1:2" ht="155.44999999999999" customHeight="1">
      <c r="A72" s="220"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97" t="s">
        <v>1262</v>
      </c>
    </row>
    <row r="73" spans="1:2" ht="75">
      <c r="A73" s="220"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Tantale, étain, tungstène, or</v>
      </c>
      <c r="D3" s="386"/>
      <c r="E3" s="97" t="s">
        <v>1266</v>
      </c>
    </row>
    <row r="4" spans="1:5" ht="63.75" customHeight="1">
      <c r="A4" s="71"/>
      <c r="B4" s="60" t="str">
        <f ca="1">OFFSET(L!$C$1,MATCH("Definitions"&amp;ADDRESS(ROW(),COLUMN(),4),L!$A:$A,0)-1,SL,,)</f>
        <v>Personne responsable</v>
      </c>
      <c r="C4" s="60"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86"/>
      <c r="E4" s="97"/>
    </row>
    <row r="5" spans="1:5" ht="60">
      <c r="A5" s="71"/>
      <c r="B5" s="60" t="str">
        <f ca="1">OFFSET(L!$C$1,MATCH("Definitions"&amp;ADDRESS(ROW(),COLUMN(),4),L!$A:$A,0)-1,SL,,)</f>
        <v>Zone touchée par des conflits et à haut risque (CAHRA)</v>
      </c>
      <c r="C5" s="60"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86"/>
      <c r="E5" s="97"/>
    </row>
    <row r="6" spans="1:5" ht="151.35" customHeight="1">
      <c r="A6" s="71"/>
      <c r="B6" s="60" t="str">
        <f ca="1">OFFSET(L!$C$1,MATCH("Definitions"&amp;ADDRESS(ROW(),COLUMN(),4),L!$A:$A,0)-1,SL,,)</f>
        <v>Minerai de conflit</v>
      </c>
      <c r="C6" s="60"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86"/>
      <c r="E6" s="97" t="s">
        <v>1267</v>
      </c>
    </row>
    <row r="7" spans="1:5" ht="105.6" customHeight="1">
      <c r="A7" s="71"/>
      <c r="B7" s="60" t="str">
        <f ca="1">OFFSET(L!$C$1,MATCH("Definitions"&amp;ADDRESS(ROW(),COLUMN(),4),L!$A:$A,0)-1,SL,,)</f>
        <v>Pays concerné(s)</v>
      </c>
      <c r="C7" s="60"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86"/>
      <c r="E7" s="97" t="s">
        <v>1267</v>
      </c>
    </row>
    <row r="8" spans="1:5" ht="135">
      <c r="A8" s="71"/>
      <c r="B8" s="60" t="str">
        <f ca="1">OFFSET(L!$C$1,MATCH("Definitions"&amp;ADDRESS(ROW(),COLUMN(),4),L!$A:$A,0)-1,SL,,)</f>
        <v>Périmètre de la Déclaration</v>
      </c>
      <c r="C8" s="60"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86"/>
      <c r="E8" s="97" t="s">
        <v>1270</v>
      </c>
    </row>
    <row r="9" spans="1:5" ht="60">
      <c r="A9" s="71"/>
      <c r="B9" s="60" t="str">
        <f ca="1">OFFSET(L!$C$1,MATCH("Definitions"&amp;ADDRESS(ROW(),COLUMN(),4),L!$A:$A,0)-1,SL,,)</f>
        <v>Dodd-Frank</v>
      </c>
      <c r="C9" s="60" t="str">
        <f ca="1">OFFSET(L!$C$1,MATCH("Definitions"&amp;ADDRESS(ROW(),COLUMN(),4),L!$A:$A,0)-1,SL,,)</f>
        <v>Loi Dodd-Frank des Etats-Unis d'Amérique de 2010 sur la Réforme  de Wall Street et la protection des consommateurs, Section 1502 ("Dodd-Frank")_x000D_
(http://www.sec.gov/about/laws/wallstreetreform-cpa.pdf)</v>
      </c>
      <c r="D9" s="386"/>
      <c r="E9" s="97" t="s">
        <v>1267</v>
      </c>
    </row>
    <row r="10" spans="1:5" ht="45">
      <c r="A10" s="71"/>
      <c r="B10" s="60" t="str">
        <f ca="1">OFFSET(L!$C$1,MATCH("Definitions"&amp;ADDRESS(ROW(),COLUMN(),4),L!$A:$A,0)-1,SL,,)</f>
        <v>RDC</v>
      </c>
      <c r="C10" s="60" t="str">
        <f ca="1">OFFSET(L!$C$1,MATCH("Definitions"&amp;ADDRESS(ROW(),COLUMN(),4),L!$A:$A,0)-1,SL,,)</f>
        <v>République Démocratique du Congo</v>
      </c>
      <c r="D10" s="386"/>
      <c r="E10" s="97" t="s">
        <v>1266</v>
      </c>
    </row>
    <row r="11" spans="1:5" ht="60" hidden="1">
      <c r="A11" s="71"/>
      <c r="B11" s="60" t="str">
        <f ca="1">OFFSET(L!$C$1,MATCH("Definitions"&amp;ADDRESS(ROW(),COLUMN(),4),L!$A:$A,0)-1,SL,,)</f>
        <v>RDC Sans Conflit</v>
      </c>
      <c r="C11" s="60"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86"/>
      <c r="E11" s="97" t="s">
        <v>1266</v>
      </c>
    </row>
    <row r="12" spans="1:5" ht="60">
      <c r="A12" s="71"/>
      <c r="B12" s="60" t="str">
        <f ca="1">OFFSET(L!$C$1,MATCH("Definitions"&amp;ADDRESS(ROW(),COLUMN(),4),L!$A:$A,0)-1,SL,,)</f>
        <v>Fonderie d'or</v>
      </c>
      <c r="C12" s="60"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v>
      </c>
      <c r="D12" s="386"/>
      <c r="E12" s="97" t="s">
        <v>1266</v>
      </c>
    </row>
    <row r="13" spans="1:5" ht="107.25" customHeight="1">
      <c r="A13" s="71"/>
      <c r="B13" s="60" t="str">
        <f ca="1">OFFSET(L!$C$1,MATCH("Definitions"&amp;ADDRESS(ROW(),COLUMN(),4),L!$A:$A,0)-1,SL,,)</f>
        <v>Cabinet d'audit indépendant du secteur privé</v>
      </c>
      <c r="C13" s="60"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86"/>
      <c r="E13" s="97" t="s">
        <v>1268</v>
      </c>
    </row>
    <row r="14" spans="1:5" ht="285">
      <c r="A14" s="71"/>
      <c r="B14" s="60" t="str">
        <f ca="1">OFFSET(L!$C$1,MATCH("Definitions"&amp;ADDRESS(ROW(),COLUMN(),4),L!$A:$A,0)-1,SL,,)</f>
        <v>Ajouté intentionnellement</v>
      </c>
      <c r="C14" s="60"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86"/>
      <c r="E15" s="97" t="s">
        <v>1266</v>
      </c>
    </row>
    <row r="16" spans="1:5" ht="60">
      <c r="A16" s="71"/>
      <c r="B16" s="60" t="str">
        <f ca="1">OFFSET(L!$C$1,MATCH("Definitions"&amp;ADDRESS(ROW(),COLUMN(),4),L!$A:$A,0)-1,SL,,)</f>
        <v>IPC-1755 norme d'échange de données sur les mineraux responsables</v>
      </c>
      <c r="C16" s="60"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86"/>
      <c r="E16" s="97" t="s">
        <v>1266</v>
      </c>
    </row>
    <row r="17" spans="1:5" ht="180">
      <c r="A17" s="71"/>
      <c r="B17" s="60" t="str">
        <f ca="1">OFFSET(L!$C$1,MATCH("Definitions"&amp;ADDRESS(ROW(),COLUMN(),4),L!$A:$A,0)-1,SL,,)</f>
        <v>Nécessaire aux fonctionnalités d'un produit</v>
      </c>
      <c r="C17" s="60"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86"/>
      <c r="E17" s="97" t="s">
        <v>1266</v>
      </c>
    </row>
    <row r="18" spans="1:5" ht="150">
      <c r="A18" s="71"/>
      <c r="B18" s="60" t="str">
        <f ca="1">OFFSET(L!$C$1,MATCH("Definitions"&amp;ADDRESS(ROW(),COLUMN(),4),L!$A:$A,0)-1,SL,,)</f>
        <v>Nécessaire à la production d'un produit</v>
      </c>
      <c r="C18" s="60"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86"/>
      <c r="E18" s="97" t="s">
        <v>1266</v>
      </c>
    </row>
    <row r="19" spans="1:5" ht="15">
      <c r="A19" s="71"/>
      <c r="B19" s="60" t="str">
        <f ca="1">OFFSET(L!$C$1,MATCH("Definitions"&amp;ADDRESS(ROW(),COLUMN(),4),L!$A:$A,0)-1,SL,,)</f>
        <v>OCDE</v>
      </c>
      <c r="C19" s="60" t="str">
        <f ca="1">OFFSET(L!$C$1,MATCH("Definitions"&amp;ADDRESS(ROW(),COLUMN(),4),L!$A:$A,0)-1,SL,,)</f>
        <v>Organisation pour la Coopération et le Développement Economique</v>
      </c>
      <c r="D19" s="386"/>
      <c r="E19" s="97"/>
    </row>
    <row r="20" spans="1:5" ht="45">
      <c r="A20" s="71"/>
      <c r="B20" s="60" t="str">
        <f ca="1">OFFSET(L!$C$1,MATCH("Definitions"&amp;ADDRESS(ROW(),COLUMN(),4),L!$A:$A,0)-1,SL,,)</f>
        <v>Produit</v>
      </c>
      <c r="C20" s="60" t="str">
        <f ca="1">OFFSET(L!$C$1,MATCH("Definitions"&amp;ADDRESS(ROW(),COLUMN(),4),L!$A:$A,0)-1,SL,,)</f>
        <v>Le produit fini d'une entreprise  est un matériel ou un élément qui aest arrivé au stade final de sa fabrication et est disponible pour la distribution ou la vente aux clients.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Fournisseurs de produits recyclés, rebuts de production ou déchets de consommation</v>
      </c>
      <c r="C22" s="60"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86"/>
      <c r="E22" s="97"/>
    </row>
    <row r="23" spans="1:5" ht="60">
      <c r="A23" s="71"/>
      <c r="B23" s="60" t="str">
        <f ca="1">OFFSET(L!$C$1,MATCH("Definitions"&amp;ADDRESS(ROW(),COLUMN(),4),L!$A:$A,0)-1,SL,,)</f>
        <v>Programme pour les fonderies sans conflit (RMAP)</v>
      </c>
      <c r="C23" s="60"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86"/>
      <c r="E23" s="97"/>
    </row>
    <row r="24" spans="1:5" ht="168" customHeight="1">
      <c r="A24" s="71"/>
      <c r="B24" s="60" t="str">
        <f ca="1">OFFSET(L!$C$1,MATCH("Definitions"&amp;ADDRESS(ROW(),COLUMN(),4),L!$A:$A,0)-1,SL,,)</f>
        <v>Initiative pour des approvisionnements  sans conflit</v>
      </c>
      <c r="C24" s="60"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v>
      </c>
      <c r="D24" s="386"/>
      <c r="E24" s="97"/>
    </row>
    <row r="25" spans="1:5" ht="177.6" customHeight="1">
      <c r="A25" s="71"/>
      <c r="B25" s="60" t="str">
        <f ca="1">OFFSET(L!$C$1,MATCH("Definitions"&amp;ADDRESS(ROW(),COLUMN(),4),L!$A:$A,0)-1,SL,,)</f>
        <v>Liste des fonderies conformes au RMAP</v>
      </c>
      <c r="C25" s="60"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Fonderie</v>
      </c>
      <c r="C27" s="60"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86"/>
      <c r="E27" s="97" t="s">
        <v>1266</v>
      </c>
    </row>
    <row r="28" spans="1:5" ht="60">
      <c r="A28" s="71"/>
      <c r="B28" s="60" t="str">
        <f ca="1">OFFSET(L!$C$1,MATCH("Definitions"&amp;ADDRESS(ROW(),COLUMN(),4),L!$A:$A,0)-1,SL,,)</f>
        <v>Numéro d'identification d'une fonderie</v>
      </c>
      <c r="C28" s="60"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86"/>
      <c r="E28" s="97" t="s">
        <v>1267</v>
      </c>
    </row>
    <row r="29" spans="1:5" ht="90">
      <c r="A29" s="71"/>
      <c r="B29" s="60" t="str">
        <f ca="1">OFFSET(L!$C$1,MATCH("Definitions"&amp;ADDRESS(ROW(),COLUMN(),4),L!$A:$A,0)-1,SL,,)</f>
        <v>Fonderie de tantale</v>
      </c>
      <c r="C29" s="60"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v>
      </c>
      <c r="D29" s="386"/>
      <c r="E29" s="97" t="s">
        <v>1268</v>
      </c>
    </row>
    <row r="30" spans="1:5" ht="135" customHeight="1">
      <c r="A30" s="71"/>
      <c r="B30" s="60" t="str">
        <f ca="1">OFFSET(L!$C$1,MATCH("Definitions"&amp;ADDRESS(ROW(),COLUMN(),4),L!$A:$A,0)-1,SL,,)</f>
        <v>Fonderie d'étain</v>
      </c>
      <c r="C30" s="60"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v>
      </c>
      <c r="D30" s="386"/>
      <c r="E30" s="97" t="s">
        <v>1269</v>
      </c>
    </row>
    <row r="31" spans="1:5" ht="132.94999999999999" customHeight="1">
      <c r="A31" s="71"/>
      <c r="B31" s="60" t="str">
        <f ca="1">OFFSET(L!$C$1,MATCH("Definitions"&amp;ADDRESS(ROW(),COLUMN(),4),L!$A:$A,0)-1,SL,,)</f>
        <v>Fonderie de tungstène</v>
      </c>
      <c r="C31" s="60"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517</v>
      </c>
      <c r="E3" s="2"/>
      <c r="F3" s="341"/>
      <c r="G3" s="341"/>
      <c r="H3" s="341"/>
      <c r="I3" s="145"/>
      <c r="J3" s="135" t="s">
        <v>15370</v>
      </c>
      <c r="K3" s="33"/>
      <c r="L3" s="97"/>
      <c r="P3" s="42">
        <f>MATCH($D$3,LN,0)</f>
        <v>5</v>
      </c>
    </row>
    <row r="4" spans="1:34" ht="15.75">
      <c r="A4" s="31"/>
      <c r="B4" s="337" t="str">
        <f ca="1">OFFSET(L!$C$1,MATCH("Declaration"&amp;ADDRESS(ROW(),COLUMN(),4),L!$A:$A,0)-1,SL,,)</f>
        <v>Le but de ce document est de collecter des informations sur la provenance de l'étain, du tantale, du tungstène et de l'or utilisé dans les produits.</v>
      </c>
      <c r="C4" s="337"/>
      <c r="D4" s="337"/>
      <c r="E4" s="337"/>
      <c r="F4" s="337"/>
      <c r="G4" s="337"/>
      <c r="H4" s="337"/>
      <c r="I4" s="342" t="str">
        <f ca="1">OFFSET(L!$C$1,MATCH("Declaration"&amp;ADDRESS(ROW(),COLUMN(),4),L!$A:$A,0)-1,SL,,)</f>
        <v>Lien vers les Conditions générales</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Les champs obligatoires sont indiqués par un astérisque (*). Consultez l'onglet Instructions pour savoir comment répondre à chaque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Informations sur l’entreprise</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Nom de l'entreprise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Périmètre de la déclaration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Allez sur l'onglet "Liste des produits" pour saisir les produits auxquels cette déclaration s'applique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Cliquez ici pour saisir les produits auxquels la présente déclaration s'applique</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Identifiant unique de l'entreprise:</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Autorité délivrant l'identifiant unique:</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Nom du contact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du contact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Téléphone du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Nom de la personne responsable de la déclaration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Titre du représentant légal:</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du représentant légal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Téléphone du représentant légal:</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Date de la déclaration (*):</v>
      </c>
      <c r="C22" s="75"/>
      <c r="D22" s="355">
        <v>46136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Répondre aux questions 1 à 8 suivantes pour le périmètre de la déclaration indiqué ci-dessus</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Des 3TG sont-ils intentionnellement ajoutés ou utilisés dans le(s) produit(s) ou les processus de production ? (*)</v>
      </c>
      <c r="C25" s="16"/>
      <c r="D25" s="304" t="str">
        <f ca="1">OFFSET(L!$C$1,MATCH("Declaration"&amp;ADDRESS(ROW(),COLUMN(),4),L!$A:$A,0)-1,SL,,)</f>
        <v>Réponse</v>
      </c>
      <c r="E25" s="304"/>
      <c r="F25" s="17"/>
      <c r="G25" s="41" t="str">
        <f ca="1">OFFSET(L!$C$1,MATCH("Declaration"&amp;ADDRESS(ROW(),COLUMN(),4),L!$A:$A,0)-1,SL,,)</f>
        <v>Commentaires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Tantale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Étain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Or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Tungstène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Reste-t-il des 3TG dans le(s) produit(s) ? (*) (*)</v>
      </c>
      <c r="C31" s="9"/>
      <c r="D31" s="306" t="str">
        <f ca="1">D25</f>
        <v>Réponse</v>
      </c>
      <c r="E31" s="306"/>
      <c r="F31" s="17"/>
      <c r="G31" s="41" t="str">
        <f ca="1">G25</f>
        <v>Commentaires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Tantale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Étain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Or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Tungstène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Est-ce qu’une des fonderies de votre chaîne d’approvisionnement s’approvisionne en 3TG à partir des pays couverts ? (terme SEC, consulter l’onglet des définitions) (*)</v>
      </c>
      <c r="C37" s="9"/>
      <c r="D37" s="306" t="str">
        <f ca="1">D25</f>
        <v>Réponse</v>
      </c>
      <c r="E37" s="306"/>
      <c r="F37" s="17"/>
      <c r="G37" s="41" t="str">
        <f ca="1">G25</f>
        <v>Commentaires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Tantale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Étain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Or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Tungstène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L’une des fonderies de votre chaîne d’approvisionnement se fournit-elle en 3TG auprès de zones touchées par des conflits et à haut risque ? (*)</v>
      </c>
      <c r="C43" s="9"/>
      <c r="D43" s="306" t="str">
        <f ca="1">D25</f>
        <v>Réponse</v>
      </c>
      <c r="E43" s="306"/>
      <c r="F43" s="17"/>
      <c r="G43" s="41" t="str">
        <f ca="1">G25</f>
        <v>Commentaires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Tantale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Étain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Or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Tungstène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Est-ce que 100 % des 3TG (nécessaires au fonctionnement ou à la production de vos produits) provient de sources recyclées ?  (*)</v>
      </c>
      <c r="C49" s="9"/>
      <c r="D49" s="306" t="str">
        <f ca="1">D25</f>
        <v>Réponse</v>
      </c>
      <c r="E49" s="306"/>
      <c r="F49" s="17"/>
      <c r="G49" s="41" t="str">
        <f ca="1">G25</f>
        <v>Commentaires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Tantale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Étain  (*)</v>
      </c>
      <c r="C51" s="9"/>
      <c r="D51" s="297" t="s">
        <v>473</v>
      </c>
      <c r="E51" s="298"/>
      <c r="F51" s="44"/>
      <c r="G51" s="299" t="s">
        <v>15889</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Or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Tungstène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Combien de fournisseurs (%) concernés ont répondu à l'enquête sur la chaîne d'approvisionnement ? (*)</v>
      </c>
      <c r="C55" s="9"/>
      <c r="D55" s="306" t="str">
        <f ca="1">D25</f>
        <v>Réponse</v>
      </c>
      <c r="E55" s="306"/>
      <c r="F55" s="17"/>
      <c r="G55" s="41" t="str">
        <f ca="1">G25</f>
        <v>Commentaires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Tantale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Étain  (*)</v>
      </c>
      <c r="C57" s="32"/>
      <c r="D57" s="318" t="s">
        <v>15890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Or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Tungstène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Avez-vous identifié toutes les fonderies qui fournissent les 3TG à votre chaîne d’approvisionnement ?  (*)</v>
      </c>
      <c r="C61" s="9"/>
      <c r="D61" s="306" t="str">
        <f ca="1">D25</f>
        <v>Réponse</v>
      </c>
      <c r="E61" s="306"/>
      <c r="F61" s="17"/>
      <c r="G61" s="41" t="str">
        <f ca="1">G25</f>
        <v>Commentaires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Tantale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Étain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Or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Tungstène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Est-ce que toutes les informations pertinentes reçues des fonderies par votre société ont été mentionnées dans cette déclaration ?  (*)</v>
      </c>
      <c r="C67" s="9"/>
      <c r="D67" s="306" t="str">
        <f ca="1">D25</f>
        <v>Réponse</v>
      </c>
      <c r="E67" s="306"/>
      <c r="F67" s="17"/>
      <c r="G67" s="41" t="str">
        <f ca="1">G25</f>
        <v>Commentaires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Tantale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Étain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Or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Tungstène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Répondre à la question suivante au niveau de l'entreprise</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Réponse</v>
      </c>
      <c r="E74" s="304"/>
      <c r="F74" s="50"/>
      <c r="G74" s="304" t="str">
        <f ca="1">G25</f>
        <v>Commentaires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Avez-vous mis en place une politique d’approvisionnement en minerais responsable ?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54"/>
      <c r="D77" s="297" t="s">
        <v>473</v>
      </c>
      <c r="E77" s="298"/>
      <c r="F77" s="54"/>
      <c r="G77" s="325" t="s">
        <v>15891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Avez-vous mis en œuvre des mesures de diligence raisonnable pour un approvisionnement responsable ?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Votre société mène-t-elle des enquêtes sur les minerais de conflit auprès du/des fournisseur(s) concerné(s) ?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Vérifiez-vous les informations de devoir de diligence reçues de vos fournisseurs par rapport aux attentes de votre entreprise?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Votre processus de vérification inclut-il la gestion des actions correctives ?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Votre société est-elle tenue de fournir une déclaration annuelle sur les minerais de conflit ?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D83F14-899B-40FA-AFE7-581A926AB195}"/>
    <hyperlink ref="D20" r:id="rId4" xr:uid="{1504F6F5-951C-4D3D-AFE6-77E5595BF99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M1" zoomScaleNormal="100" zoomScalePageLayoutView="55" workbookViewId="0">
      <selection activeCell="P6" sqref="P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POUR COMMENCER :</v>
      </c>
      <c r="C2" s="156"/>
      <c r="D2" s="156"/>
      <c r="E2" s="156"/>
      <c r="F2" s="177"/>
      <c r="G2" s="177"/>
      <c r="H2" s="177"/>
      <c r="I2" s="178"/>
      <c r="J2" s="388" t="str">
        <f ca="1">OFFSET(L!$C$1,MATCH("Smelter List"&amp;ADDRESS(ROW(),COLUMN(),4),L!$A:$A,0)-1,SL,,)</f>
        <v>Lien vers la liste des fonderies conformes au  programme RMAP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Colonne de saisie du numéro d’identification de la fonderie</v>
      </c>
      <c r="B4" s="199" t="str">
        <f ca="1">OFFSET(L!$C$1,MATCH("Smelter List"&amp;ADDRESS(ROW(),COLUMN(),4),L!$A:$A,0)-1,SL,,)</f>
        <v>Métal (*)</v>
      </c>
      <c r="C4" s="199" t="str">
        <f ca="1">OFFSET(L!$C$1,MATCH("Smelter List"&amp;ADDRESS(ROW(),COLUMN(),4),L!$A:$A,0)-1,SL,,)</f>
        <v>Recherche de fonderie (*)</v>
      </c>
      <c r="D4" s="199" t="str">
        <f ca="1">OFFSET(L!$C$1,MATCH("Smelter List"&amp;ADDRESS(ROW(),COLUMN(),4),L!$A:$A,0)-1,SL,,)</f>
        <v>Nom de la fonderie (1)</v>
      </c>
      <c r="E4" s="199" t="str">
        <f ca="1">OFFSET(L!$C$1,MATCH("Smelter List"&amp;ADDRESS(ROW(),COLUMN(),4),L!$A:$A,0)-1,SL,,)</f>
        <v>Localisation de la fonderie : Pays (*)</v>
      </c>
      <c r="F4" s="199" t="str">
        <f ca="1">OFFSET(L!$C$1,MATCH("Smelter List"&amp;ADDRESS(ROW(),COLUMN(),4),L!$A:$A,0)-1,SL,,)</f>
        <v>Identifiant de la fonderie</v>
      </c>
      <c r="G4" s="199" t="str">
        <f ca="1">OFFSET(L!$C$1,MATCH("Smelter List"&amp;ADDRESS(ROW(),COLUMN(),4),L!$A:$A,0)-1,SL,,)</f>
        <v>Type de l'identifiant de la fonderie</v>
      </c>
      <c r="H4" s="139" t="str">
        <f ca="1">OFFSET(L!$C$1,MATCH("Smelter List"&amp;ADDRESS(ROW(),COLUMN(),4),L!$A:$A,0)-1,SL,,)</f>
        <v>Localisation de la fonderie : Rue et Numéro</v>
      </c>
      <c r="I4" s="139" t="str">
        <f ca="1">OFFSET(L!$C$1,MATCH("Smelter List"&amp;ADDRESS(ROW(),COLUMN(),4),L!$A:$A,0)-1,SL,,)</f>
        <v>Localisation de la fonderie : Ville</v>
      </c>
      <c r="J4" s="139" t="str">
        <f ca="1">OFFSET(L!$C$1,MATCH("Smelter List"&amp;ADDRESS(ROW(),COLUMN(),4),L!$A:$A,0)-1,SL,,)</f>
        <v>Localisation de la fonderie : Etat / Province</v>
      </c>
      <c r="K4" s="139" t="str">
        <f ca="1">OFFSET(L!$C$1,MATCH("Smelter List"&amp;ADDRESS(ROW(),COLUMN(),4),L!$A:$A,0)-1,SL,,)</f>
        <v>Nom du contact de la fonderie</v>
      </c>
      <c r="L4" s="139" t="str">
        <f ca="1">OFFSET(L!$C$1,MATCH("Smelter List"&amp;ADDRESS(ROW(),COLUMN(),4),L!$A:$A,0)-1,SL,,)</f>
        <v>Email du contact de la fonderie</v>
      </c>
      <c r="M4" s="139" t="str">
        <f ca="1">OFFSET(L!$C$1,MATCH("Smelter List"&amp;ADDRESS(ROW(),COLUMN(),4),L!$A:$A,0)-1,SL,,)</f>
        <v>Prochaines étapes proposées, si applicable</v>
      </c>
      <c r="N4" s="139" t="str">
        <f ca="1">OFFSET(L!$C$1,MATCH("Smelter List"&amp;ADDRESS(ROW(),COLUMN(),4),L!$A:$A,0)-1,SL,,)</f>
        <v>Nom des Mine(s), ou si provenant de produits recyclés, rebuts de production ou déchets de consommation, saisir "recycled" ou "scrap"</v>
      </c>
      <c r="O4" s="139" t="str">
        <f ca="1">OFFSET(L!$C$1,MATCH("Smelter List"&amp;ADDRESS(ROW(),COLUMN(),4),L!$A:$A,0)-1,SL,,)</f>
        <v>Localisation (Pays) des Mine(s) ou si provenant de produits recyclés, rebuts de production ou déchets de consommations, saisir "recycled" ou "scrap"</v>
      </c>
      <c r="P4" s="139" t="str">
        <f ca="1">OFFSET(L!$C$1,MATCH("Smelter List"&amp;ADDRESS(ROW(),COLUMN(),4),L!$A:$A,0)-1,SL,,)</f>
        <v>_x000D_
100% des produits utilisés par la fonderie proviennent-ils de produits recyclés, rebuts de production ou déchets de consommation?</v>
      </c>
      <c r="Q4" s="140" t="str">
        <f ca="1">OFFSET(L!$C$1,MATCH("Smelter List"&amp;ADDRESS(ROW(),COLUMN(),4),L!$A:$A,0)-1,SL,,)</f>
        <v>Commentaires</v>
      </c>
      <c r="R4" s="199" t="s">
        <v>11971</v>
      </c>
      <c r="S4" s="199" t="s">
        <v>11958</v>
      </c>
      <c r="T4" s="199" t="s">
        <v>11959</v>
      </c>
      <c r="U4" s="184"/>
      <c r="W4" s="152" t="s">
        <v>1278</v>
      </c>
      <c r="X4" s="152" t="s">
        <v>901</v>
      </c>
      <c r="AH4" s="140" t="s">
        <v>475</v>
      </c>
    </row>
    <row r="5" spans="1:34" s="210" customFormat="1" ht="20.100000000000001" customHeight="1">
      <c r="A5" s="245"/>
      <c r="B5" s="166" t="s">
        <v>1088</v>
      </c>
      <c r="C5" s="170" t="s">
        <v>12472</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c r="L5" s="207"/>
      <c r="M5" s="207"/>
      <c r="N5" s="207"/>
      <c r="O5" s="207"/>
      <c r="P5" s="169" t="s">
        <v>473</v>
      </c>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IF(C5="",NA(),IF(OR(C5="Smelter not listed",C5="Smelter not yet identified"),MATCH($B5&amp;$D5,'Smelter Look-up'!$J:$J,0),MATCH($B5&amp;$C5,'Smelter Look-up'!$J:$J,0)))</f>
        <v>496</v>
      </c>
      <c r="X5" s="210">
        <f t="shared" ref="X5" ca="1" si="0">IF(AND(C5="Smelter not listed",OR(LEN(D5)=0,LEN(E5)=0)),1,0)</f>
        <v>0</v>
      </c>
      <c r="AB5" s="211" t="str">
        <f t="shared" ref="AB5" si="1">B5&amp;C5</f>
        <v>TinMetallo Belgium N.V.</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D87AE8-CA4C-4C31-9E9C-06C4C485EDD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Afin de s'assurer que tous les champs obligatoires ont été complétés avant de soumettre le document à vos clients, merci de vérifier tous les champs surlignés en rouge</v>
      </c>
      <c r="B1" s="393"/>
      <c r="C1" s="393"/>
      <c r="D1" s="116" t="str">
        <f ca="1">OFFSET(L!$C$1,MATCH("Checker"&amp;ADDRESS(ROW(),COLUMN(),4),L!$A:$A,0)-1,SL,,)</f>
        <v>Champs obligatoires non complétés</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Champs obligatoires</v>
      </c>
      <c r="B3" s="65" t="str">
        <f ca="1">OFFSET(L!$C$1,MATCH("Checker"&amp;ADDRESS(ROW(),COLUMN(),4),L!$A:$A,0)-1,SL,,)</f>
        <v>Réponse fournie</v>
      </c>
      <c r="C3" s="65" t="str">
        <f ca="1">OFFSET(L!$C$1,MATCH("Checker"&amp;ADDRESS(ROW(),COLUMN(),4),L!$A:$A,0)-1,SL,,)</f>
        <v>Remarques</v>
      </c>
      <c r="D3" s="65" t="str">
        <f ca="1">OFFSET(L!$C$1,MATCH("Checker"&amp;ADDRESS(ROW(),COLUMN(),4),L!$A:$A,0)-1,SL,,)</f>
        <v>Lien au document d'origine</v>
      </c>
      <c r="F3" s="66" t="s">
        <v>510</v>
      </c>
      <c r="G3" s="18" t="s">
        <v>509</v>
      </c>
      <c r="H3" s="18" t="s">
        <v>511</v>
      </c>
      <c r="I3" s="18" t="s">
        <v>1271</v>
      </c>
      <c r="J3" s="18" t="s">
        <v>1272</v>
      </c>
    </row>
    <row r="4" spans="1:10" ht="39">
      <c r="A4" s="87" t="str">
        <f ca="1">Declaration!B8</f>
        <v>Nom de l'entreprise (*):</v>
      </c>
      <c r="B4" s="86" t="str">
        <f>Declaration!D8</f>
        <v>Interflux® Electronics NV</v>
      </c>
      <c r="C4" s="86" t="str">
        <f t="shared" ref="C4" ca="1" si="0">IF(H4=1,J4,I4)</f>
        <v>Complétez</v>
      </c>
      <c r="D4" s="92" t="str">
        <f>IF(H4=1,"Click here to enter Company Name","")</f>
        <v/>
      </c>
      <c r="E4" s="19" t="s">
        <v>1261</v>
      </c>
      <c r="F4" s="90">
        <v>1</v>
      </c>
      <c r="G4" s="67">
        <f t="shared" ref="G4" si="1">IF(B4=0,1,0)</f>
        <v>0</v>
      </c>
      <c r="H4" s="68">
        <f>F4*G4</f>
        <v>0</v>
      </c>
      <c r="I4" s="142" t="str">
        <f ca="1">OFFSET(L!$C$1,MATCH("Checker"&amp;"Comp",L!$A:$A,0)-1,SL,,)</f>
        <v>Complétez</v>
      </c>
      <c r="J4" s="143" t="str">
        <f ca="1">OFFSET(L!$C$1,MATCH("Checker"&amp;ADDRESS(ROW(),COLUMN(),4),L!$A:$A,0)-1,SL,,)</f>
        <v xml:space="preserve">Indiquez le nom de votre entreprise dans la cellule D8 de l'onglet Déclaration </v>
      </c>
    </row>
    <row r="5" spans="1:10" ht="39">
      <c r="A5" s="87" t="str">
        <f ca="1">Declaration!B9</f>
        <v>Périmètre de la déclaration (*):</v>
      </c>
      <c r="B5" s="86" t="str">
        <f>Declaration!D9</f>
        <v>B. Product (or List of Products)</v>
      </c>
      <c r="C5" s="86" t="str">
        <f ca="1">IF(H5=1,J5,I5)</f>
        <v>Complétez</v>
      </c>
      <c r="D5" s="92" t="str">
        <f>IF(H5=1,"Click here to enter Declaration Scope","")</f>
        <v/>
      </c>
      <c r="E5" s="19" t="s">
        <v>1261</v>
      </c>
      <c r="F5" s="90">
        <v>1</v>
      </c>
      <c r="G5" s="67">
        <f>IF(B5=0,1,0)</f>
        <v>0</v>
      </c>
      <c r="H5" s="68">
        <f t="shared" ref="H5" si="2">F5*G5</f>
        <v>0</v>
      </c>
      <c r="I5" s="142" t="str">
        <f ca="1">OFFSET(L!$C$1,MATCH("Checker"&amp;"Comp",L!$A:$A,0)-1,SL,,)</f>
        <v>Complétez</v>
      </c>
      <c r="J5" s="143" t="str">
        <f ca="1">OFFSET(L!$C$1,MATCH("Checker"&amp;ADDRESS(ROW(),COLUMN(),4),L!$A:$A,0)-1,SL,,)</f>
        <v xml:space="preserve">Sélectionnez le champ d'application de la déclaration dans la cellule D9 de l'onglet Déclaration </v>
      </c>
    </row>
    <row r="6" spans="1:10" ht="39">
      <c r="A6" s="87" t="str">
        <f ca="1">Declaration!B10</f>
        <v>Allez sur l'onglet "Liste des produits" pour saisir les produits auxquels cette déclaration s'applique</v>
      </c>
      <c r="B6" s="86" t="str">
        <f>Declaration!D10</f>
        <v>Interflux Products</v>
      </c>
      <c r="C6" s="86" t="str">
        <f ca="1">IF(H6=1,J6,I6)</f>
        <v>Complétez</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Complétez</v>
      </c>
      <c r="J6" s="18" t="str">
        <f ca="1">OFFSET(L!$C$1,MATCH("Checker"&amp;ADDRESS(ROW(),COLUMN(),4),L!$A:$A,0)-1,SL,,)</f>
        <v xml:space="preserve">Saisissez une description du champ d'application dans la cellule D10 de l'onglet Déclaration </v>
      </c>
    </row>
    <row r="7" spans="1:10" ht="39">
      <c r="A7" s="87" t="str">
        <f ca="1">Declaration!B15</f>
        <v>Nom du contact (*):</v>
      </c>
      <c r="B7" s="86" t="str">
        <f>Declaration!D15</f>
        <v>Peeters Annick</v>
      </c>
      <c r="C7" s="86" t="str">
        <f ca="1">IF(H7=1,J7,I7)</f>
        <v>Complétez</v>
      </c>
      <c r="D7" s="92" t="str">
        <f>IF(H7=1,"Click here to enter Contact Name","")</f>
        <v/>
      </c>
      <c r="E7" s="19" t="s">
        <v>1261</v>
      </c>
      <c r="F7" s="90">
        <v>1</v>
      </c>
      <c r="G7" s="67">
        <f>IF(B7=0,1,0)</f>
        <v>0</v>
      </c>
      <c r="H7" s="68">
        <f t="shared" si="3"/>
        <v>0</v>
      </c>
      <c r="I7" s="142" t="str">
        <f ca="1">OFFSET(L!$C$1,MATCH("Checker"&amp;"Comp",L!$A:$A,0)-1,SL,,)</f>
        <v>Complétez</v>
      </c>
      <c r="J7" s="18" t="str">
        <f ca="1">OFFSET(L!$C$1,MATCH("Checker"&amp;ADDRESS(ROW(),COLUMN(),4),L!$A:$A,0)-1,SL,,)</f>
        <v>Saisissez le nom de contact dans la cellule D15 de l'onglet Déclaration</v>
      </c>
    </row>
    <row r="8" spans="1:10" ht="39">
      <c r="A8" s="87" t="str">
        <f ca="1">Declaration!B16</f>
        <v>Email du contact (*):</v>
      </c>
      <c r="B8" s="86" t="str">
        <f>Declaration!D16</f>
        <v>reach@interflux.com</v>
      </c>
      <c r="C8" s="86" t="str">
        <f ca="1">IF(H8=1,J8,I8)</f>
        <v>Complétez</v>
      </c>
      <c r="D8" s="92" t="str">
        <f>IF(H8=1,"Click here to enter Email-Contact","")</f>
        <v/>
      </c>
      <c r="E8" s="19" t="s">
        <v>1261</v>
      </c>
      <c r="F8" s="90">
        <v>1</v>
      </c>
      <c r="G8" s="67">
        <f>IF(ISNUMBER(SEARCH("@",B8)),0,1)</f>
        <v>0</v>
      </c>
      <c r="H8" s="68">
        <f t="shared" si="3"/>
        <v>0</v>
      </c>
      <c r="I8" s="142" t="str">
        <f ca="1">OFFSET(L!$C$1,MATCH("Checker"&amp;"Comp",L!$A:$A,0)-1,SL,,)</f>
        <v>Complétez</v>
      </c>
      <c r="J8" s="18" t="str">
        <f ca="1">OFFSET(L!$C$1,MATCH("Checker"&amp;ADDRESS(ROW(),COLUMN(),4),L!$A:$A,0)-1,SL,,)</f>
        <v>Saisissez une adresse e-mail de contact valide dans la cellule D16 de l’onglet Déclaration</v>
      </c>
    </row>
    <row r="9" spans="1:10" ht="39">
      <c r="A9" s="87" t="str">
        <f ca="1">Declaration!B17</f>
        <v>Téléphone du contact (*):</v>
      </c>
      <c r="B9" s="256" t="str">
        <f>Declaration!D17</f>
        <v>+3292514959</v>
      </c>
      <c r="C9" s="86" t="str">
        <f ca="1">IF(H9=1,J9,I9)</f>
        <v>Complétez</v>
      </c>
      <c r="D9" s="92" t="str">
        <f>IF(H9=1,"Click here to enter Phone-Contact","")</f>
        <v/>
      </c>
      <c r="E9" s="19" t="s">
        <v>1261</v>
      </c>
      <c r="F9" s="90">
        <v>1</v>
      </c>
      <c r="G9" s="67">
        <f>IF(B9=0,1,0)</f>
        <v>0</v>
      </c>
      <c r="H9" s="68">
        <f t="shared" si="3"/>
        <v>0</v>
      </c>
      <c r="I9" s="142" t="str">
        <f ca="1">OFFSET(L!$C$1,MATCH("Checker"&amp;"Comp",L!$A:$A,0)-1,SL,,)</f>
        <v>Complétez</v>
      </c>
      <c r="J9" s="18" t="str">
        <f ca="1">OFFSET(L!$C$1,MATCH("Checker"&amp;ADDRESS(ROW(),COLUMN(),4),L!$A:$A,0)-1,SL,,)</f>
        <v>Saisissez un numéro de téléphone de contact dans la cellule D17 de l'onglet Déclaration</v>
      </c>
    </row>
    <row r="10" spans="1:10" ht="39">
      <c r="A10" s="87" t="str">
        <f ca="1">Declaration!B18</f>
        <v>Nom de la personne responsable de la déclaration (*):</v>
      </c>
      <c r="B10" s="86" t="str">
        <f>Declaration!D18</f>
        <v>Peeters Annick</v>
      </c>
      <c r="C10" s="86" t="str">
        <f t="shared" ref="C10" ca="1" si="4">IF(H10=1,J10,I10)</f>
        <v>Complétez</v>
      </c>
      <c r="D10" s="92" t="str">
        <f>IF(H10=1,"Click here to enter an Authorized Company Representative's name","")</f>
        <v/>
      </c>
      <c r="E10" s="19" t="s">
        <v>1261</v>
      </c>
      <c r="F10" s="90">
        <v>1</v>
      </c>
      <c r="G10" s="67">
        <f t="shared" ref="G10" si="5">IF(B10=0,1,0)</f>
        <v>0</v>
      </c>
      <c r="H10" s="68">
        <f t="shared" si="3"/>
        <v>0</v>
      </c>
      <c r="I10" s="142" t="str">
        <f ca="1">OFFSET(L!$C$1,MATCH("Checker"&amp;"Comp",L!$A:$A,0)-1,SL,,)</f>
        <v>Complétez</v>
      </c>
      <c r="J10" s="18" t="str">
        <f ca="1">OFFSET(L!$C$1,MATCH("Checker"&amp;ADDRESS(ROW(),COLUMN(),4),L!$A:$A,0)-1,SL,,)</f>
        <v>Saisissez le nom de contact du représentant agréé de l'entreprise dans la cellule D18 de l'onglet Déclaration</v>
      </c>
    </row>
    <row r="11" spans="1:10" ht="39">
      <c r="A11" s="87" t="str">
        <f ca="1">Declaration!B20</f>
        <v>Email du représentant légal (*):</v>
      </c>
      <c r="B11" s="86" t="str">
        <f>Declaration!D20</f>
        <v>a.peeters@interflux.com</v>
      </c>
      <c r="C11" s="86" t="str">
        <f ca="1">IF(H11=1,J11,I11)</f>
        <v>Complétez</v>
      </c>
      <c r="D11" s="92" t="str">
        <f>IF(H11=1,"Click here to enter Representative's email","")</f>
        <v/>
      </c>
      <c r="E11" s="19" t="s">
        <v>1261</v>
      </c>
      <c r="F11" s="90">
        <v>1</v>
      </c>
      <c r="G11" s="67">
        <f>IF(ISNUMBER(SEARCH("@",B11)),0,1)</f>
        <v>0</v>
      </c>
      <c r="H11" s="68">
        <f t="shared" si="3"/>
        <v>0</v>
      </c>
      <c r="I11" s="142" t="str">
        <f ca="1">OFFSET(L!$C$1,MATCH("Checker"&amp;"Comp",L!$A:$A,0)-1,SL,,)</f>
        <v>Complétez</v>
      </c>
      <c r="J11" s="18" t="str">
        <f ca="1">OFFSET(L!$C$1,MATCH("Checker"&amp;ADDRESS(ROW(),COLUMN(),4),L!$A:$A,0)-1,SL,,)</f>
        <v>Saisissez une adresse e-mail valide du représentant agréé de la société dans la cellule D20 de l’onglet Déclaration</v>
      </c>
    </row>
    <row r="12" spans="1:10" ht="39">
      <c r="A12" s="87" t="str">
        <f ca="1">Declaration!B22</f>
        <v>Date de la déclaration (*):</v>
      </c>
      <c r="B12" s="88">
        <f>Declaration!D22</f>
        <v>46136</v>
      </c>
      <c r="C12" s="86" t="str">
        <f ca="1">IF(H12=1,J12,I12)</f>
        <v>Complétez</v>
      </c>
      <c r="D12" s="92" t="str">
        <f>IF(H12=1,"Click here to enter Date of Completion","")</f>
        <v/>
      </c>
      <c r="E12" s="19" t="s">
        <v>1261</v>
      </c>
      <c r="F12" s="90">
        <v>1</v>
      </c>
      <c r="G12" s="67">
        <f>IF(B12=0,1,0)</f>
        <v>0</v>
      </c>
      <c r="H12" s="68">
        <f t="shared" si="3"/>
        <v>0</v>
      </c>
      <c r="I12" s="142" t="str">
        <f ca="1">OFFSET(L!$C$1,MATCH("Checker"&amp;"Comp",L!$A:$A,0)-1,SL,,)</f>
        <v>Complétez</v>
      </c>
      <c r="J12" s="18" t="str">
        <f ca="1">OFFSET(L!$C$1,MATCH("Checker"&amp;ADDRESS(ROW(),COLUMN(),4),L!$A:$A,0)-1,SL,,)</f>
        <v xml:space="preserve">Saisissez la date de remplissage du formulaire dans la cellule D22 de l'onglet Déclaration </v>
      </c>
    </row>
    <row r="13" spans="1:10" ht="63.75">
      <c r="A13" s="86" t="str">
        <f ca="1">Declaration!B25</f>
        <v>1) Des 3TG sont-ils intentionnellement ajoutés ou utilisés dans le(s) produit(s) ou les processus de production ? (*)</v>
      </c>
      <c r="B13" s="89"/>
      <c r="C13" s="89"/>
      <c r="D13" s="93"/>
      <c r="E13" s="19" t="s">
        <v>773</v>
      </c>
      <c r="F13" s="90"/>
      <c r="H13" s="18">
        <f t="shared" si="3"/>
        <v>0</v>
      </c>
    </row>
    <row r="14" spans="1:10" ht="26.25">
      <c r="A14" s="87" t="str">
        <f ca="1">Declaration!B26</f>
        <v xml:space="preserve">Tantale  </v>
      </c>
      <c r="B14" s="86" t="str">
        <f>Declaration!D26</f>
        <v>No</v>
      </c>
      <c r="C14" s="86" t="str">
        <f ca="1">IF(H14=1,J14,I14)</f>
        <v>Complétez</v>
      </c>
      <c r="D14" s="92" t="str">
        <f>IF(H14=1,"Click here to answer question 1 for Tantalum","")</f>
        <v/>
      </c>
      <c r="E14" s="19" t="s">
        <v>769</v>
      </c>
      <c r="F14" s="90">
        <v>1</v>
      </c>
      <c r="G14" s="67">
        <f>IF(B14=0,1,0)</f>
        <v>0</v>
      </c>
      <c r="H14" s="68">
        <f t="shared" si="3"/>
        <v>0</v>
      </c>
      <c r="I14" s="142" t="str">
        <f ca="1">OFFSET(L!$C$1,MATCH("Checker"&amp;"Comp",L!$A:$A,0)-1,SL,,)</f>
        <v>Complétez</v>
      </c>
      <c r="J14" s="143" t="str">
        <f ca="1">OFFSET(L!$C$1,MATCH("Checker"&amp;ADDRESS(ROW(),COLUMN(),4),L!$A:$A,0)-1,SL,,)</f>
        <v xml:space="preserve">Déclarez si du tantale est intentionnellement ajouté à vos produits dans la cellule D26 de l'onglet Déclaration </v>
      </c>
    </row>
    <row r="15" spans="1:10" ht="39">
      <c r="A15" s="87" t="str">
        <f ca="1">Declaration!B27</f>
        <v>Étain  (*)</v>
      </c>
      <c r="B15" s="86" t="str">
        <f>Declaration!D27</f>
        <v>Yes</v>
      </c>
      <c r="C15" s="86" t="str">
        <f ca="1">IF(H15=1,J15,I15)</f>
        <v>Complétez</v>
      </c>
      <c r="D15" s="92" t="str">
        <f>IF(H15=1,"Click here to answer question 1 for Tin","")</f>
        <v/>
      </c>
      <c r="E15" s="19" t="s">
        <v>770</v>
      </c>
      <c r="F15" s="90">
        <v>1</v>
      </c>
      <c r="G15" s="67">
        <f>IF(B15=0,1,0)</f>
        <v>0</v>
      </c>
      <c r="H15" s="68">
        <f t="shared" si="3"/>
        <v>0</v>
      </c>
      <c r="I15" s="142" t="str">
        <f ca="1">OFFSET(L!$C$1,MATCH("Checker"&amp;"Comp",L!$A:$A,0)-1,SL,,)</f>
        <v>Complétez</v>
      </c>
      <c r="J15" s="143" t="str">
        <f ca="1">OFFSET(L!$C$1,MATCH("Checker"&amp;ADDRESS(ROW(),COLUMN(),4),L!$A:$A,0)-1,SL,,)</f>
        <v>Déclarez si de l'étain est intentionnellement ajouté à vos produits dans la cellule D27 de l'onglet Déclaration</v>
      </c>
    </row>
    <row r="16" spans="1:10" ht="39">
      <c r="A16" s="87" t="str">
        <f ca="1">Declaration!B28</f>
        <v xml:space="preserve">Or  </v>
      </c>
      <c r="B16" s="86" t="str">
        <f>Declaration!D28</f>
        <v>No</v>
      </c>
      <c r="C16" s="86" t="str">
        <f ca="1">IF(H16=1,J16,I16)</f>
        <v>Complétez</v>
      </c>
      <c r="D16" s="92" t="str">
        <f>IF(H16=1,"Click here to answer question 1 for Gold","")</f>
        <v/>
      </c>
      <c r="E16" s="19" t="s">
        <v>770</v>
      </c>
      <c r="F16" s="90">
        <v>1</v>
      </c>
      <c r="G16" s="67">
        <f>IF(B16=0,1,0)</f>
        <v>0</v>
      </c>
      <c r="H16" s="68">
        <f t="shared" si="3"/>
        <v>0</v>
      </c>
      <c r="I16" s="142" t="str">
        <f ca="1">OFFSET(L!$C$1,MATCH("Checker"&amp;"Comp",L!$A:$A,0)-1,SL,,)</f>
        <v>Complétez</v>
      </c>
      <c r="J16" s="143" t="str">
        <f ca="1">OFFSET(L!$C$1,MATCH("Checker"&amp;ADDRESS(ROW(),COLUMN(),4),L!$A:$A,0)-1,SL,,)</f>
        <v xml:space="preserve">Déclarez si de l'or est intentionnellement ajouté à vos produits dans la cellule D28 de l'onglet Déclaration </v>
      </c>
    </row>
    <row r="17" spans="1:10" ht="39">
      <c r="A17" s="87" t="str">
        <f ca="1">Declaration!B29</f>
        <v xml:space="preserve">Tungstène  </v>
      </c>
      <c r="B17" s="86" t="str">
        <f>Declaration!D29</f>
        <v>No</v>
      </c>
      <c r="C17" s="86" t="str">
        <f ca="1">IF(H17=1,J17,I17)</f>
        <v>Complétez</v>
      </c>
      <c r="D17" s="92" t="str">
        <f>IF(H17=1,"Click here to answer question 1 for Tungsten","")</f>
        <v/>
      </c>
      <c r="E17" s="19" t="s">
        <v>770</v>
      </c>
      <c r="F17" s="90">
        <v>1</v>
      </c>
      <c r="G17" s="67">
        <f>IF(B17=0,1,0)</f>
        <v>0</v>
      </c>
      <c r="H17" s="68">
        <f t="shared" si="3"/>
        <v>0</v>
      </c>
      <c r="I17" s="142" t="str">
        <f ca="1">OFFSET(L!$C$1,MATCH("Checker"&amp;"Comp",L!$A:$A,0)-1,SL,,)</f>
        <v>Complétez</v>
      </c>
      <c r="J17" s="143" t="str">
        <f ca="1">OFFSET(L!$C$1,MATCH("Checker"&amp;ADDRESS(ROW(),COLUMN(),4),L!$A:$A,0)-1,SL,,)</f>
        <v>Déclarez si du tungstène est intentionnellement ajouté à vos produits dans la cellule D29 de l'onglet Déclaration</v>
      </c>
    </row>
    <row r="18" spans="1:10" ht="51">
      <c r="A18" s="86" t="str">
        <f ca="1">Declaration!B31</f>
        <v>2) Reste-t-il des 3TG dans le(s) produit(s) ? (*) (*)</v>
      </c>
      <c r="B18" s="89"/>
      <c r="C18" s="89"/>
      <c r="D18" s="93"/>
      <c r="E18" s="19" t="s">
        <v>771</v>
      </c>
      <c r="F18" s="90"/>
      <c r="J18" s="143"/>
    </row>
    <row r="19" spans="1:10" ht="39">
      <c r="A19" s="87" t="str">
        <f ca="1">Declaration!B32</f>
        <v xml:space="preserve">Tantale  </v>
      </c>
      <c r="B19" s="86">
        <f>IF($B$14="Yes",Declaration!D32,0)</f>
        <v>0</v>
      </c>
      <c r="C19" s="86" t="str">
        <f ca="1">IF(H19=1,J19,I19)</f>
        <v>Complétez</v>
      </c>
      <c r="D19" s="94" t="str">
        <f>IF(H19=1,"Click here to answer question 2 for Tantalum","")</f>
        <v/>
      </c>
      <c r="E19" s="19" t="s">
        <v>770</v>
      </c>
      <c r="F19" s="91">
        <f>IF(B$14="No",0,1)</f>
        <v>0</v>
      </c>
      <c r="G19" s="67">
        <f>IF(B19=0,1,0)</f>
        <v>1</v>
      </c>
      <c r="H19" s="68">
        <f>F19*G19</f>
        <v>0</v>
      </c>
      <c r="I19" s="142" t="str">
        <f ca="1">OFFSET(L!$C$1,MATCH("Checker"&amp;"Comp",L!$A:$A,0)-1,SL,,)</f>
        <v>Complétez</v>
      </c>
      <c r="J19" s="143" t="str">
        <f ca="1">OFFSET(L!$C$1,MATCH("Checker"&amp;ADDRESS(ROW(),COLUMN(),4),L!$A:$A,0)-1,SL,,)</f>
        <v>Déclarez si du tantale est nécessaire à la fabrication de vos produits et est contenu dans les produits finis déclarés dans la cellule D32 de l'onglet Déclaration</v>
      </c>
    </row>
    <row r="20" spans="1:10" ht="39">
      <c r="A20" s="87" t="str">
        <f ca="1">Declaration!B33</f>
        <v>Étain  (*)</v>
      </c>
      <c r="B20" s="86" t="str">
        <f>IF($B$15="Yes",Declaration!D33,0)</f>
        <v>Yes</v>
      </c>
      <c r="C20" s="86" t="str">
        <f ca="1">IF(H20=1,J20,I20)</f>
        <v>Complétez</v>
      </c>
      <c r="D20" s="94" t="str">
        <f>IF(H20=1,"Click here to answer question 2 for Tin","")</f>
        <v/>
      </c>
      <c r="E20" s="19" t="s">
        <v>770</v>
      </c>
      <c r="F20" s="91">
        <f>IF(B$15="No",0,1)</f>
        <v>1</v>
      </c>
      <c r="G20" s="67">
        <f>IF(B20=0,1,0)</f>
        <v>0</v>
      </c>
      <c r="H20" s="68">
        <f>F20*G20</f>
        <v>0</v>
      </c>
      <c r="I20" s="142" t="str">
        <f ca="1">OFFSET(L!$C$1,MATCH("Checker"&amp;"Comp",L!$A:$A,0)-1,SL,,)</f>
        <v>Complétez</v>
      </c>
      <c r="J20" s="143" t="str">
        <f ca="1">OFFSET(L!$C$1,MATCH("Checker"&amp;ADDRESS(ROW(),COLUMN(),4),L!$A:$A,0)-1,SL,,)</f>
        <v>Déclarez si de l'étain est nécessaire à la fabrication de vos produits et est contenu dans les produits finis déclarés dans la cellule D33 de l'onglet Déclaration</v>
      </c>
    </row>
    <row r="21" spans="1:10" ht="39">
      <c r="A21" s="87" t="str">
        <f ca="1">Declaration!B34</f>
        <v xml:space="preserve">Or  </v>
      </c>
      <c r="B21" s="86">
        <f>IF($B$16="Yes",Declaration!D34,0)</f>
        <v>0</v>
      </c>
      <c r="C21" s="86" t="str">
        <f ca="1">IF(H21=1,J21,I21)</f>
        <v>Complétez</v>
      </c>
      <c r="D21" s="94" t="str">
        <f>IF(H21=1,"Click here to answer question 2 for Gold","")</f>
        <v/>
      </c>
      <c r="E21" s="19" t="s">
        <v>770</v>
      </c>
      <c r="F21" s="91">
        <f>IF(B$16="No",0,1)</f>
        <v>0</v>
      </c>
      <c r="G21" s="67">
        <f>IF(B21=0,1,0)</f>
        <v>1</v>
      </c>
      <c r="H21" s="68">
        <f>F21*G21</f>
        <v>0</v>
      </c>
      <c r="I21" s="142" t="str">
        <f ca="1">OFFSET(L!$C$1,MATCH("Checker"&amp;"Comp",L!$A:$A,0)-1,SL,,)</f>
        <v>Complétez</v>
      </c>
      <c r="J21" s="143" t="str">
        <f ca="1">OFFSET(L!$C$1,MATCH("Checker"&amp;ADDRESS(ROW(),COLUMN(),4),L!$A:$A,0)-1,SL,,)</f>
        <v>Déclarez si de l'or est nécessaire à la fabrication de vos produits et est contenu dans les produits finis déclarés dans la cellule D34 de l'onglet Déclaration</v>
      </c>
    </row>
    <row r="22" spans="1:10" ht="39">
      <c r="A22" s="87" t="str">
        <f ca="1">Declaration!B35</f>
        <v xml:space="preserve">Tungstène  </v>
      </c>
      <c r="B22" s="86">
        <f>IF($B$17="Yes",Declaration!D35,0)</f>
        <v>0</v>
      </c>
      <c r="C22" s="86" t="str">
        <f ca="1">IF(H22=1,J22,I22)</f>
        <v>Complétez</v>
      </c>
      <c r="D22" s="94" t="str">
        <f>IF(H22=1,"Click here to answer question 2 for Tungsten","")</f>
        <v/>
      </c>
      <c r="E22" s="19" t="s">
        <v>770</v>
      </c>
      <c r="F22" s="91">
        <f>IF(B$17="No",0,1)</f>
        <v>0</v>
      </c>
      <c r="G22" s="67">
        <f>IF(B22=0,1,0)</f>
        <v>1</v>
      </c>
      <c r="H22" s="68">
        <f>F22*G22</f>
        <v>0</v>
      </c>
      <c r="I22" s="142" t="str">
        <f ca="1">OFFSET(L!$C$1,MATCH("Checker"&amp;"Comp",L!$A:$A,0)-1,SL,,)</f>
        <v>Complétez</v>
      </c>
      <c r="J22" s="143"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86" t="str">
        <f ca="1">Declaration!B37</f>
        <v>3) Est-ce qu’une des fonderies de votre chaîne d’approvisionnement s’approvisionne en 3TG à partir des pays couverts ? (terme SEC, consulter l’onglet des définitions) (*)</v>
      </c>
      <c r="B23" s="89"/>
      <c r="C23" s="89"/>
      <c r="D23" s="93"/>
      <c r="E23" s="19" t="s">
        <v>770</v>
      </c>
      <c r="F23" s="90"/>
      <c r="J23" s="143"/>
    </row>
    <row r="24" spans="1:10" ht="39">
      <c r="A24" s="87" t="str">
        <f ca="1">Declaration!B38</f>
        <v xml:space="preserve">Tantale  </v>
      </c>
      <c r="B24" s="86">
        <f>IF(AND($B$14="Yes",$B$19="Yes"),Declaration!D38,0)</f>
        <v>0</v>
      </c>
      <c r="C24" s="86" t="str">
        <f ca="1">IF(H24=1,J24,I24)</f>
        <v>Complétez</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Complétez</v>
      </c>
      <c r="J24" s="18" t="str">
        <f ca="1">OFFSET(L!$C$1,MATCH("Checker"&amp;ADDRESS(ROW(),COLUMN(),4),L!$A:$A,0)-1,SL,,)</f>
        <v>Déclarez si le tantale utilisé dans le cadre des produits déclarés dans les réponses à cette enquête provient de la RDC ou d'un pays voisin dans la cellule D38 de l'onglet Déclaration</v>
      </c>
    </row>
    <row r="25" spans="1:10" ht="39">
      <c r="A25" s="87" t="str">
        <f ca="1">Declaration!B39</f>
        <v>Étain  (*)</v>
      </c>
      <c r="B25" s="86" t="str">
        <f>IF(AND($B$15="Yes",$B$20="Yes"),Declaration!D39,0)</f>
        <v>No</v>
      </c>
      <c r="C25" s="86" t="str">
        <f ca="1">IF(H25=1,J25,I25)</f>
        <v>Complétez</v>
      </c>
      <c r="D25" s="94" t="str">
        <f>IF(H25=1,"Click here to answer question 3 for Tin","")</f>
        <v/>
      </c>
      <c r="E25" s="19" t="s">
        <v>770</v>
      </c>
      <c r="F25" s="91">
        <f>IF(OR(B15="No",B20="No"),0,1)</f>
        <v>1</v>
      </c>
      <c r="G25" s="67">
        <f>IF(B25=0,1,0)</f>
        <v>0</v>
      </c>
      <c r="H25" s="68">
        <f>F25*G25</f>
        <v>0</v>
      </c>
      <c r="I25" s="142" t="str">
        <f ca="1">OFFSET(L!$C$1,MATCH("Checker"&amp;"Comp",L!$A:$A,0)-1,SL,,)</f>
        <v>Complétez</v>
      </c>
      <c r="J25" s="18"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39">
      <c r="A26" s="87" t="str">
        <f ca="1">Declaration!B40</f>
        <v xml:space="preserve">Or  </v>
      </c>
      <c r="B26" s="86">
        <f>IF(AND($B$16="Yes",$B$21="Yes"),Declaration!D40,0)</f>
        <v>0</v>
      </c>
      <c r="C26" s="86" t="str">
        <f ca="1">IF(H26=1,J26,I26)</f>
        <v>Complétez</v>
      </c>
      <c r="D26" s="94" t="str">
        <f>IF(H26=1,"Click here to answer question 3 for Gold","")</f>
        <v/>
      </c>
      <c r="E26" s="19" t="s">
        <v>770</v>
      </c>
      <c r="F26" s="91">
        <f>IF(OR(B16="No",B21="No"),0,1)</f>
        <v>0</v>
      </c>
      <c r="G26" s="67">
        <f>IF(B26=0,1,0)</f>
        <v>1</v>
      </c>
      <c r="H26" s="68">
        <f>F26*G26</f>
        <v>0</v>
      </c>
      <c r="I26" s="142" t="str">
        <f ca="1">OFFSET(L!$C$1,MATCH("Checker"&amp;"Comp",L!$A:$A,0)-1,SL,,)</f>
        <v>Complétez</v>
      </c>
      <c r="J26" s="18"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39">
      <c r="A27" s="87" t="str">
        <f ca="1">Declaration!B41</f>
        <v xml:space="preserve">Tungstène  </v>
      </c>
      <c r="B27" s="86">
        <f>IF(AND($B$17="Yes",$B$22="Yes"),Declaration!D41,0)</f>
        <v>0</v>
      </c>
      <c r="C27" s="86" t="str">
        <f ca="1">IF(H27=1,J27,I27)</f>
        <v>Complétez</v>
      </c>
      <c r="D27" s="94" t="str">
        <f>IF(H27=1,"Click here to answer question 3 for Tungsten","")</f>
        <v/>
      </c>
      <c r="E27" s="19" t="s">
        <v>770</v>
      </c>
      <c r="F27" s="91">
        <f>IF(OR(B17="No",B22="No"),0,1)</f>
        <v>0</v>
      </c>
      <c r="G27" s="67">
        <f>IF(B27=0,1,0)</f>
        <v>1</v>
      </c>
      <c r="H27" s="68">
        <f>F27*G27</f>
        <v>0</v>
      </c>
      <c r="I27" s="142" t="str">
        <f ca="1">OFFSET(L!$C$1,MATCH("Checker"&amp;"Comp",L!$A:$A,0)-1,SL,,)</f>
        <v>Complétez</v>
      </c>
      <c r="J27" s="18"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 customHeight="1">
      <c r="A28" s="86" t="str">
        <f ca="1">Declaration!B43</f>
        <v>4) L’une des fonderies de votre chaîne d’approvisionnement se fournit-elle en 3TG auprès de zones touchées par des conflits et à haut risque ? (*)</v>
      </c>
      <c r="B28" s="86"/>
      <c r="C28" s="86"/>
      <c r="D28" s="94"/>
      <c r="E28" s="19"/>
      <c r="F28" s="19"/>
      <c r="G28" s="19"/>
      <c r="I28" s="142"/>
    </row>
    <row r="29" spans="1:10" ht="41.1" customHeight="1">
      <c r="A29" s="87" t="str">
        <f ca="1">Declaration!B44</f>
        <v xml:space="preserve">Tantale  </v>
      </c>
      <c r="B29" s="86">
        <f>IF(AND($B$14="Yes",$B$19="Yes"),Declaration!D44,0)</f>
        <v>0</v>
      </c>
      <c r="C29" s="86" t="str">
        <f ca="1">IF(H29=1,J29,I29)</f>
        <v>Complétez</v>
      </c>
      <c r="D29" s="243" t="str">
        <f>IF(H29=1,"Click here to answer question 4 for Tantalum","")</f>
        <v/>
      </c>
      <c r="E29" s="19"/>
      <c r="F29" s="91">
        <f>F24</f>
        <v>0</v>
      </c>
      <c r="G29" s="67">
        <f t="shared" ref="G29" si="8">IF(B29=0,1,0)</f>
        <v>1</v>
      </c>
      <c r="H29" s="68">
        <f t="shared" ref="H29" si="9">F29*G29</f>
        <v>0</v>
      </c>
      <c r="I29" s="142" t="str">
        <f ca="1">OFFSET(L!$C$1,MATCH("Checker"&amp;"Comp",L!$A:$A,0)-1,SL,,)</f>
        <v>Complétez</v>
      </c>
      <c r="J29" s="18"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 customHeight="1">
      <c r="A30" s="87" t="str">
        <f ca="1">Declaration!B45</f>
        <v>Étain  (*)</v>
      </c>
      <c r="B30" s="86" t="str">
        <f>IF(AND($B$15="Yes",$B$20="Yes"),Declaration!D45,0)</f>
        <v>No</v>
      </c>
      <c r="C30" s="86" t="str">
        <f ca="1">IF(H30=1,J30,I30)</f>
        <v>Complétez</v>
      </c>
      <c r="D30" s="243" t="str">
        <f>IF(H30=1,"Click here to answer question 4 for Tin","")</f>
        <v/>
      </c>
      <c r="E30" s="19"/>
      <c r="F30" s="91">
        <f>F25</f>
        <v>1</v>
      </c>
      <c r="G30" s="67">
        <f>IF(B30=0,1,0)</f>
        <v>0</v>
      </c>
      <c r="H30" s="68">
        <f>F30*G30</f>
        <v>0</v>
      </c>
      <c r="I30" s="142" t="str">
        <f ca="1">OFFSET(L!$C$1,MATCH("Checker"&amp;"Comp",L!$A:$A,0)-1,SL,,)</f>
        <v>Complétez</v>
      </c>
      <c r="J30" s="18"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 customHeight="1">
      <c r="A31" s="87" t="str">
        <f ca="1">Declaration!B46</f>
        <v xml:space="preserve">Or  </v>
      </c>
      <c r="B31" s="86">
        <f>IF(AND($B$16="Yes",$B$21="Yes"),Declaration!D46,0)</f>
        <v>0</v>
      </c>
      <c r="C31" s="86" t="str">
        <f ca="1">IF(H31=1,J31,I31)</f>
        <v>Complétez</v>
      </c>
      <c r="D31" s="243" t="str">
        <f>IF(H31=1,"Click here to answer question 4 for Gold","")</f>
        <v/>
      </c>
      <c r="E31" s="19"/>
      <c r="F31" s="91">
        <f>F26</f>
        <v>0</v>
      </c>
      <c r="G31" s="67">
        <f>IF(B31=0,1,0)</f>
        <v>1</v>
      </c>
      <c r="H31" s="68">
        <f>F31*G31</f>
        <v>0</v>
      </c>
      <c r="I31" s="142" t="str">
        <f ca="1">OFFSET(L!$C$1,MATCH("Checker"&amp;"Comp",L!$A:$A,0)-1,SL,,)</f>
        <v>Complétez</v>
      </c>
      <c r="J31" s="18"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 customHeight="1">
      <c r="A32" s="87" t="str">
        <f ca="1">Declaration!B47</f>
        <v xml:space="preserve">Tungstène  </v>
      </c>
      <c r="B32" s="86">
        <f>IF(AND($B$17="Yes",$B$22="Yes"),Declaration!D47,0)</f>
        <v>0</v>
      </c>
      <c r="C32" s="86" t="str">
        <f ca="1">IF(H32=1,J32,I32)</f>
        <v>Complétez</v>
      </c>
      <c r="D32" s="243" t="str">
        <f>IF(H32=1,"Click here to answer question 4 for Tungsten","")</f>
        <v/>
      </c>
      <c r="E32" s="19"/>
      <c r="F32" s="91">
        <f>F27</f>
        <v>0</v>
      </c>
      <c r="G32" s="67">
        <f>IF(B32=0,1,0)</f>
        <v>1</v>
      </c>
      <c r="H32" s="68">
        <f>F32*G32</f>
        <v>0</v>
      </c>
      <c r="I32" s="142" t="str">
        <f ca="1">OFFSET(L!$C$1,MATCH("Checker"&amp;"Comp",L!$A:$A,0)-1,SL,,)</f>
        <v>Complétez</v>
      </c>
      <c r="J32" s="18"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38.25">
      <c r="A33" s="86" t="str">
        <f ca="1">Declaration!B49</f>
        <v>5) Est-ce que 100 % des 3TG (nécessaires au fonctionnement ou à la production de vos produits) provient de sources recyclées ?  (*)</v>
      </c>
      <c r="B33" s="89"/>
      <c r="C33" s="89"/>
      <c r="D33" s="93"/>
      <c r="E33" s="19" t="s">
        <v>1261</v>
      </c>
      <c r="F33" s="90"/>
      <c r="J33" s="143"/>
    </row>
    <row r="34" spans="1:10" ht="51">
      <c r="A34" s="87" t="str">
        <f ca="1">Declaration!B50</f>
        <v xml:space="preserve">Tantale  </v>
      </c>
      <c r="B34" s="86">
        <f>IF(AND($B$14="Yes",$B$19="Yes"),Declaration!D50,0)</f>
        <v>0</v>
      </c>
      <c r="C34" s="86" t="str">
        <f ca="1">IF(H34=1,J34,I34)</f>
        <v>Complétez</v>
      </c>
      <c r="D34" s="243" t="str">
        <f>IF(H34=1,"Click here to answer question 5 for Tantalum","")</f>
        <v/>
      </c>
      <c r="E34" s="19" t="s">
        <v>1261</v>
      </c>
      <c r="F34" s="91">
        <f>F24</f>
        <v>0</v>
      </c>
      <c r="G34" s="67">
        <f>IF(B34=0,1,0)</f>
        <v>1</v>
      </c>
      <c r="H34" s="68">
        <f>F34*G34</f>
        <v>0</v>
      </c>
      <c r="I34" s="142" t="str">
        <f ca="1">OFFSET(L!$C$1,MATCH("Checker"&amp;"Comp",L!$A:$A,0)-1,SL,,)</f>
        <v>Complétez</v>
      </c>
      <c r="J34" s="143"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39">
      <c r="A35" s="87" t="str">
        <f ca="1">Declaration!B51</f>
        <v>Étain  (*)</v>
      </c>
      <c r="B35" s="86" t="str">
        <f>IF(AND($B$15="Yes",$B$20="Yes"),Declaration!D51,0)</f>
        <v>Yes</v>
      </c>
      <c r="C35" s="86" t="str">
        <f ca="1">IF(H35=1,J35,I35)</f>
        <v>Complétez</v>
      </c>
      <c r="D35" s="243" t="str">
        <f>IF(H35=1,"Click here to answer question 5 for Tin","")</f>
        <v/>
      </c>
      <c r="E35" s="19" t="s">
        <v>1261</v>
      </c>
      <c r="F35" s="91">
        <f>F25</f>
        <v>1</v>
      </c>
      <c r="G35" s="67">
        <f>IF(B35=0,1,0)</f>
        <v>0</v>
      </c>
      <c r="H35" s="68">
        <f>F35*G35</f>
        <v>0</v>
      </c>
      <c r="I35" s="142" t="str">
        <f ca="1">OFFSET(L!$C$1,MATCH("Checker"&amp;"Comp",L!$A:$A,0)-1,SL,,)</f>
        <v>Complétez</v>
      </c>
      <c r="J35" s="143"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39">
      <c r="A36" s="87" t="str">
        <f ca="1">Declaration!B52</f>
        <v xml:space="preserve">Or  </v>
      </c>
      <c r="B36" s="86">
        <f>IF(AND($B$16="Yes",$B$21="Yes"),Declaration!D52,0)</f>
        <v>0</v>
      </c>
      <c r="C36" s="86" t="str">
        <f ca="1">IF(H36=1,J36,I36)</f>
        <v>Complétez</v>
      </c>
      <c r="D36" s="243" t="str">
        <f>IF(H36=1,"Click here to answer question 5 for Gold","")</f>
        <v/>
      </c>
      <c r="E36" s="19" t="s">
        <v>1261</v>
      </c>
      <c r="F36" s="91">
        <f>F26</f>
        <v>0</v>
      </c>
      <c r="G36" s="67">
        <f>IF(B36=0,1,0)</f>
        <v>1</v>
      </c>
      <c r="H36" s="68">
        <f>F36*G36</f>
        <v>0</v>
      </c>
      <c r="I36" s="142" t="str">
        <f ca="1">OFFSET(L!$C$1,MATCH("Checker"&amp;"Comp",L!$A:$A,0)-1,SL,,)</f>
        <v>Complétez</v>
      </c>
      <c r="J36" s="143"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51">
      <c r="A37" s="87" t="str">
        <f ca="1">Declaration!B53</f>
        <v xml:space="preserve">Tungstène  </v>
      </c>
      <c r="B37" s="86">
        <f>IF(AND($B$17="Yes",$B$22="Yes"),Declaration!D53,0)</f>
        <v>0</v>
      </c>
      <c r="C37" s="86" t="str">
        <f ca="1">IF(H37=1,J37,I37)</f>
        <v>Complétez</v>
      </c>
      <c r="D37" s="243" t="str">
        <f>IF(H37=1,"Click here to answer question 5 for Tungsten","")</f>
        <v/>
      </c>
      <c r="E37" s="19" t="s">
        <v>1261</v>
      </c>
      <c r="F37" s="91">
        <f>F27</f>
        <v>0</v>
      </c>
      <c r="G37" s="67">
        <f>IF(B37=0,1,0)</f>
        <v>1</v>
      </c>
      <c r="H37" s="68">
        <f>F37*G37</f>
        <v>0</v>
      </c>
      <c r="I37" s="142" t="str">
        <f ca="1">OFFSET(L!$C$1,MATCH("Checker"&amp;"Comp",L!$A:$A,0)-1,SL,,)</f>
        <v>Complétez</v>
      </c>
      <c r="J37" s="143"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38.25">
      <c r="A38" s="86" t="str">
        <f ca="1">Declaration!B55</f>
        <v>6) Combien de fournisseurs (%) concernés ont répondu à l'enquête sur la chaîne d'approvisionnement ? (*)</v>
      </c>
      <c r="B38" s="89"/>
      <c r="C38" s="89"/>
      <c r="D38" s="93"/>
      <c r="E38" s="19" t="s">
        <v>770</v>
      </c>
      <c r="F38" s="90"/>
    </row>
    <row r="39" spans="1:10" ht="26.25">
      <c r="A39" s="87" t="str">
        <f ca="1">Declaration!B56</f>
        <v xml:space="preserve">Tantale  </v>
      </c>
      <c r="B39" s="251">
        <f>IF(AND($B$14="Yes",$B$19="Yes"),Declaration!D56,0)</f>
        <v>0</v>
      </c>
      <c r="C39" s="86" t="str">
        <f ca="1">IF(H39=1,J39,I39)</f>
        <v>Complétez</v>
      </c>
      <c r="D39" s="244" t="str">
        <f>IF(H39=1,"Click here to answer question 6 for Tantalum","")</f>
        <v/>
      </c>
      <c r="E39" s="19" t="s">
        <v>769</v>
      </c>
      <c r="F39" s="91">
        <f>F24</f>
        <v>0</v>
      </c>
      <c r="G39" s="67">
        <f>IF(B39=0,1,0)</f>
        <v>1</v>
      </c>
      <c r="H39" s="68">
        <f>F39*G39</f>
        <v>0</v>
      </c>
      <c r="I39" s="142" t="str">
        <f ca="1">OFFSET(L!$C$1,MATCH("Checker"&amp;"Comp",L!$A:$A,0)-1,SL,,)</f>
        <v>Complétez</v>
      </c>
      <c r="J39" s="18" t="str">
        <f ca="1">OFFSET(L!$C$1,MATCH("Checker"&amp;ADDRESS(ROW(),COLUMN(),4),L!$A:$A,0)-1,SL,,)</f>
        <v>Indiquez le pourcentage d'exhaustivité des informations sur la fonderie données par le fournisseur dans la cellule D50 de l'onglet Déclaration</v>
      </c>
    </row>
    <row r="40" spans="1:10" ht="26.25">
      <c r="A40" s="87" t="str">
        <f ca="1">Declaration!B57</f>
        <v>Étain  (*)</v>
      </c>
      <c r="B40" s="251" t="str">
        <f>IF(AND($B$15="Yes",$B$20="Yes"),Declaration!D57,0)</f>
        <v>100%</v>
      </c>
      <c r="C40" s="86" t="str">
        <f ca="1">IF(H40=1,J40,I40)</f>
        <v>Complétez</v>
      </c>
      <c r="D40" s="244" t="str">
        <f>IF(H40=1,"Click here to answer question 6 for Tin","")</f>
        <v/>
      </c>
      <c r="E40" s="19" t="s">
        <v>769</v>
      </c>
      <c r="F40" s="91">
        <f>F25</f>
        <v>1</v>
      </c>
      <c r="G40" s="67">
        <f>IF(B40=0,1,0)</f>
        <v>0</v>
      </c>
      <c r="H40" s="68">
        <f>F40*G40</f>
        <v>0</v>
      </c>
      <c r="I40" s="142" t="str">
        <f ca="1">OFFSET(L!$C$1,MATCH("Checker"&amp;"Comp",L!$A:$A,0)-1,SL,,)</f>
        <v>Complétez</v>
      </c>
      <c r="J40" s="18" t="str">
        <f ca="1">OFFSET(L!$C$1,MATCH("Checker"&amp;ADDRESS(ROW(),COLUMN(),4),L!$A:$A,0)-1,SL,,)</f>
        <v xml:space="preserve">Indiquez le pourcentage d'exhaustivité des informations sur la fonderie données par le fournisseur dans la cellule D51 de l'onglet Déclaration </v>
      </c>
    </row>
    <row r="41" spans="1:10" ht="26.25">
      <c r="A41" s="87" t="str">
        <f ca="1">Declaration!B58</f>
        <v xml:space="preserve">Or  </v>
      </c>
      <c r="B41" s="251">
        <f>IF(AND($B$16="Yes",$B$21="Yes"),Declaration!D58,0)</f>
        <v>0</v>
      </c>
      <c r="C41" s="86" t="str">
        <f ca="1">IF(H41=1,J41,I41)</f>
        <v>Complétez</v>
      </c>
      <c r="D41" s="244" t="str">
        <f>IF(H41=1,"Click here to answer question 6 for Gold","")</f>
        <v/>
      </c>
      <c r="E41" s="19" t="s">
        <v>769</v>
      </c>
      <c r="F41" s="91">
        <f>F26</f>
        <v>0</v>
      </c>
      <c r="G41" s="67">
        <f>IF(B41=0,1,0)</f>
        <v>1</v>
      </c>
      <c r="H41" s="68">
        <f>F41*G41</f>
        <v>0</v>
      </c>
      <c r="I41" s="142" t="str">
        <f ca="1">OFFSET(L!$C$1,MATCH("Checker"&amp;"Comp",L!$A:$A,0)-1,SL,,)</f>
        <v>Complétez</v>
      </c>
      <c r="J41" s="18" t="str">
        <f ca="1">OFFSET(L!$C$1,MATCH("Checker"&amp;ADDRESS(ROW(),COLUMN(),4),L!$A:$A,0)-1,SL,,)</f>
        <v xml:space="preserve">Indiquez le pourcentage d'exhaustivité des informations sur la fonderie données par le fournisseur dans la cellule D52 de l'onglet Déclaration </v>
      </c>
    </row>
    <row r="42" spans="1:10" ht="26.25">
      <c r="A42" s="87" t="str">
        <f ca="1">Declaration!B59</f>
        <v xml:space="preserve">Tungstène  </v>
      </c>
      <c r="B42" s="251">
        <f>IF(AND($B$17="Yes",$B$22="Yes"),Declaration!D59,0)</f>
        <v>0</v>
      </c>
      <c r="C42" s="86" t="str">
        <f ca="1">IF(H42=1,J42,I42)</f>
        <v>Complétez</v>
      </c>
      <c r="D42" s="244" t="str">
        <f>IF(H42=1,"Click here to answer question 6 for Tungsten","")</f>
        <v/>
      </c>
      <c r="E42" s="19" t="s">
        <v>769</v>
      </c>
      <c r="F42" s="91">
        <f>F27</f>
        <v>0</v>
      </c>
      <c r="G42" s="67">
        <f>IF(B42=0,1,0)</f>
        <v>1</v>
      </c>
      <c r="H42" s="68">
        <f>F42*G42</f>
        <v>0</v>
      </c>
      <c r="I42" s="142" t="str">
        <f ca="1">OFFSET(L!$C$1,MATCH("Checker"&amp;"Comp",L!$A:$A,0)-1,SL,,)</f>
        <v>Complétez</v>
      </c>
      <c r="J42" s="18" t="str">
        <f ca="1">OFFSET(L!$C$1,MATCH("Checker"&amp;ADDRESS(ROW(),COLUMN(),4),L!$A:$A,0)-1,SL,,)</f>
        <v xml:space="preserve">Indiquez le pourcentage d'exhaustivité des informations sur la fonderie données par le fournisseur dans la cellule D53 de l'onglet Déclaration </v>
      </c>
    </row>
    <row r="43" spans="1:10" ht="51">
      <c r="A43" s="86" t="str">
        <f ca="1">Declaration!B61</f>
        <v>7) Avez-vous identifié toutes les fonderies qui fournissent les 3TG à votre chaîne d’approvisionnement ?  (*)</v>
      </c>
      <c r="B43" s="89"/>
      <c r="C43" s="89"/>
      <c r="D43" s="93"/>
      <c r="E43" s="19" t="s">
        <v>771</v>
      </c>
      <c r="F43" s="90"/>
    </row>
    <row r="44" spans="1:10" ht="51.75">
      <c r="A44" s="87" t="str">
        <f ca="1">Declaration!B62</f>
        <v xml:space="preserve">Tantale  </v>
      </c>
      <c r="B44" s="86">
        <f>IF(AND($B$14="Yes",$B$19="Yes"),Declaration!D62,0)</f>
        <v>0</v>
      </c>
      <c r="C44" s="86" t="str">
        <f ca="1">IF(H44=1,J44,I44)</f>
        <v>Complétez</v>
      </c>
      <c r="D44" s="243" t="str">
        <f>IF(H44=1,"Click here to answer question 7 for Tantalum","")</f>
        <v/>
      </c>
      <c r="E44" s="19" t="s">
        <v>1257</v>
      </c>
      <c r="F44" s="91">
        <f>F24</f>
        <v>0</v>
      </c>
      <c r="G44" s="67">
        <f>IF(B44=0,1,0)</f>
        <v>1</v>
      </c>
      <c r="H44" s="68">
        <f>F44*G44</f>
        <v>0</v>
      </c>
      <c r="I44" s="142" t="str">
        <f ca="1">OFFSET(L!$C$1,MATCH("Checker"&amp;"Comp",L!$A:$A,0)-1,SL,,)</f>
        <v>Complétez</v>
      </c>
      <c r="J44" s="18"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1.75">
      <c r="A45" s="87" t="str">
        <f ca="1">Declaration!B63</f>
        <v>Étain  (*)</v>
      </c>
      <c r="B45" s="86" t="str">
        <f>IF(AND($B$15="Yes",$B$20="Yes"),Declaration!D63,0)</f>
        <v>Yes</v>
      </c>
      <c r="C45" s="86" t="str">
        <f ca="1">IF(H45=1,J45,I45)</f>
        <v>Complétez</v>
      </c>
      <c r="D45" s="243" t="str">
        <f>IF(H45=1,"Click here to answer question 7 for Tin","")</f>
        <v/>
      </c>
      <c r="E45" s="19" t="s">
        <v>1257</v>
      </c>
      <c r="F45" s="91">
        <f>F25</f>
        <v>1</v>
      </c>
      <c r="G45" s="67">
        <f>IF(B45=0,1,0)</f>
        <v>0</v>
      </c>
      <c r="H45" s="68">
        <f>F45*G45</f>
        <v>0</v>
      </c>
      <c r="I45" s="142" t="str">
        <f ca="1">OFFSET(L!$C$1,MATCH("Checker"&amp;"Comp",L!$A:$A,0)-1,SL,,)</f>
        <v>Complétez</v>
      </c>
      <c r="J45" s="18"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1.75">
      <c r="A46" s="87" t="str">
        <f ca="1">Declaration!B64</f>
        <v xml:space="preserve">Or  </v>
      </c>
      <c r="B46" s="86">
        <f>IF(AND($B$16="Yes",$B$21="Yes"),Declaration!D64,0)</f>
        <v>0</v>
      </c>
      <c r="C46" s="86" t="str">
        <f ca="1">IF(H46=1,J46,I46)</f>
        <v>Complétez</v>
      </c>
      <c r="D46" s="243" t="str">
        <f>IF(H46=1,"Click here to answer question 7 for Gold","")</f>
        <v/>
      </c>
      <c r="E46" s="19" t="s">
        <v>1257</v>
      </c>
      <c r="F46" s="91">
        <f>F26</f>
        <v>0</v>
      </c>
      <c r="G46" s="67">
        <f>IF(B46=0,1,0)</f>
        <v>1</v>
      </c>
      <c r="H46" s="68">
        <f>F46*G46</f>
        <v>0</v>
      </c>
      <c r="I46" s="142" t="str">
        <f ca="1">OFFSET(L!$C$1,MATCH("Checker"&amp;"Comp",L!$A:$A,0)-1,SL,,)</f>
        <v>Complétez</v>
      </c>
      <c r="J46" s="18"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1.75">
      <c r="A47" s="87" t="str">
        <f ca="1">Declaration!B65</f>
        <v xml:space="preserve">Tungstène  </v>
      </c>
      <c r="B47" s="86">
        <f>IF(AND($B$17="Yes",$B$22="Yes"),Declaration!D65,0)</f>
        <v>0</v>
      </c>
      <c r="C47" s="86" t="str">
        <f ca="1">IF(H47=1,J47,I47)</f>
        <v>Complétez</v>
      </c>
      <c r="D47" s="243" t="str">
        <f>IF(H47=1,"Click here to answer question 7 for Tungsten","")</f>
        <v/>
      </c>
      <c r="E47" s="19" t="s">
        <v>1257</v>
      </c>
      <c r="F47" s="91">
        <f>F27</f>
        <v>0</v>
      </c>
      <c r="G47" s="67">
        <f>IF(B47=0,1,0)</f>
        <v>1</v>
      </c>
      <c r="H47" s="68">
        <f>F47*G47</f>
        <v>0</v>
      </c>
      <c r="I47" s="142" t="str">
        <f ca="1">OFFSET(L!$C$1,MATCH("Checker"&amp;"Comp",L!$A:$A,0)-1,SL,,)</f>
        <v>Complétez</v>
      </c>
      <c r="J47" s="18" t="str">
        <f ca="1">OFFSET(L!$C$1,MATCH("Checker"&amp;ADDRESS(ROW(),COLUMN(),4),L!$A:$A,0)-1,SL,,)</f>
        <v>Déclarez si tous les noms de fonderie ont été fournis dans cette réponse à l'enquête avec le champ d'application des produits déclarés dans la cellule D59 de l'onglet Déclaration</v>
      </c>
    </row>
    <row r="48" spans="1:10" ht="63.75">
      <c r="A48" s="86" t="str">
        <f ca="1">Declaration!B67</f>
        <v>8) Est-ce que toutes les informations pertinentes reçues des fonderies par votre société ont été mentionnées dans cette déclaration ?  (*)</v>
      </c>
      <c r="B48" s="89"/>
      <c r="C48" s="89"/>
      <c r="D48" s="93"/>
      <c r="E48" s="19" t="s">
        <v>772</v>
      </c>
      <c r="F48" s="90"/>
    </row>
    <row r="49" spans="1:10" ht="39">
      <c r="A49" s="87" t="str">
        <f ca="1">Declaration!B68</f>
        <v xml:space="preserve">Tantale  </v>
      </c>
      <c r="B49" s="86">
        <f>IF(AND($B$14="Yes",$B$19="Yes"),Declaration!D68,0)</f>
        <v>0</v>
      </c>
      <c r="C49" s="86" t="str">
        <f ca="1">IF(H49=1,J49,I49)</f>
        <v>Complétez</v>
      </c>
      <c r="D49" s="244" t="str">
        <f>IF(H49=1,"Click here to answer question 8 for Tantalum","")</f>
        <v/>
      </c>
      <c r="E49" s="19" t="s">
        <v>770</v>
      </c>
      <c r="F49" s="91">
        <f>F24</f>
        <v>0</v>
      </c>
      <c r="G49" s="67">
        <f>IF(B49=0,1,0)</f>
        <v>1</v>
      </c>
      <c r="H49" s="68">
        <f>F49*G49</f>
        <v>0</v>
      </c>
      <c r="I49" s="142" t="str">
        <f ca="1">OFFSET(L!$C$1,MATCH("Checker"&amp;"Comp",L!$A:$A,0)-1,SL,,)</f>
        <v>Complétez</v>
      </c>
      <c r="J49" s="18" t="str">
        <f ca="1">OFFSET(L!$C$1,MATCH("Checker"&amp;ADDRESS(ROW(),COLUMN(),4),L!$A:$A,0)-1,SL,,)</f>
        <v>Déclarez si toutes les informations applicables sur la fonderie de tantale ont été fournies dans la cellule D62 de l'onglet Déclaration</v>
      </c>
    </row>
    <row r="50" spans="1:10" ht="39">
      <c r="A50" s="87" t="str">
        <f ca="1">Declaration!B69</f>
        <v>Étain  (*)</v>
      </c>
      <c r="B50" s="86" t="str">
        <f>IF(AND($B$15="Yes",$B$20="Yes"),Declaration!D69,0)</f>
        <v>Yes</v>
      </c>
      <c r="C50" s="86" t="str">
        <f ca="1">IF(H50=1,J50,I50)</f>
        <v>Complétez</v>
      </c>
      <c r="D50" s="244" t="str">
        <f>IF(H50=1,"Click here to answer question 8 for Tin","")</f>
        <v/>
      </c>
      <c r="E50" s="19" t="s">
        <v>770</v>
      </c>
      <c r="F50" s="91">
        <f>F25</f>
        <v>1</v>
      </c>
      <c r="G50" s="67">
        <f>IF(B50=0,1,0)</f>
        <v>0</v>
      </c>
      <c r="H50" s="68">
        <f>F50*G50</f>
        <v>0</v>
      </c>
      <c r="I50" s="142" t="str">
        <f ca="1">OFFSET(L!$C$1,MATCH("Checker"&amp;"Comp",L!$A:$A,0)-1,SL,,)</f>
        <v>Complétez</v>
      </c>
      <c r="J50" s="18" t="str">
        <f ca="1">OFFSET(L!$C$1,MATCH("Checker"&amp;ADDRESS(ROW(),COLUMN(),4),L!$A:$A,0)-1,SL,,)</f>
        <v>Déclarez si toutes les informations applicables sur la fonderie d'étain ont été fournies dans la cellule D63 de l'onglet Déclaration</v>
      </c>
    </row>
    <row r="51" spans="1:10" ht="39">
      <c r="A51" s="87" t="str">
        <f ca="1">Declaration!B70</f>
        <v xml:space="preserve">Or  </v>
      </c>
      <c r="B51" s="86">
        <f>IF(AND($B$16="Yes",$B$21="Yes"),Declaration!D70,0)</f>
        <v>0</v>
      </c>
      <c r="C51" s="86" t="str">
        <f ca="1">IF(H51=1,J51,I51)</f>
        <v>Complétez</v>
      </c>
      <c r="D51" s="244" t="str">
        <f>IF(H51=1,"Click here to answer question 8 for Gold","")</f>
        <v/>
      </c>
      <c r="E51" s="19" t="s">
        <v>770</v>
      </c>
      <c r="F51" s="91">
        <f>F26</f>
        <v>0</v>
      </c>
      <c r="G51" s="67">
        <f>IF(B51=0,1,0)</f>
        <v>1</v>
      </c>
      <c r="H51" s="68">
        <f>F51*G51</f>
        <v>0</v>
      </c>
      <c r="I51" s="142" t="str">
        <f ca="1">OFFSET(L!$C$1,MATCH("Checker"&amp;"Comp",L!$A:$A,0)-1,SL,,)</f>
        <v>Complétez</v>
      </c>
      <c r="J51" s="18" t="str">
        <f ca="1">OFFSET(L!$C$1,MATCH("Checker"&amp;ADDRESS(ROW(),COLUMN(),4),L!$A:$A,0)-1,SL,,)</f>
        <v>Déclarez si toutes les informations applicables sur la fonderie d'or ont été fournies dans la cellule D64 de l'onglet Déclaration</v>
      </c>
    </row>
    <row r="52" spans="1:10" ht="39">
      <c r="A52" s="87" t="str">
        <f ca="1">Declaration!B71</f>
        <v xml:space="preserve">Tungstène  </v>
      </c>
      <c r="B52" s="86">
        <f>IF(AND($B$17="Yes",$B$22="Yes"),Declaration!D71,0)</f>
        <v>0</v>
      </c>
      <c r="C52" s="86" t="str">
        <f ca="1">IF(H52=1,J52,I52)</f>
        <v>Complétez</v>
      </c>
      <c r="D52" s="244" t="str">
        <f>IF(H52=1,"Click here to answer question 8 for Tungsten","")</f>
        <v/>
      </c>
      <c r="E52" s="19" t="s">
        <v>770</v>
      </c>
      <c r="F52" s="91">
        <f>F27</f>
        <v>0</v>
      </c>
      <c r="G52" s="67">
        <f>IF(B52=0,1,0)</f>
        <v>1</v>
      </c>
      <c r="H52" s="68">
        <f>F52*G52</f>
        <v>0</v>
      </c>
      <c r="I52" s="142" t="str">
        <f ca="1">OFFSET(L!$C$1,MATCH("Checker"&amp;"Comp",L!$A:$A,0)-1,SL,,)</f>
        <v>Complétez</v>
      </c>
      <c r="J52" s="18" t="str">
        <f ca="1">OFFSET(L!$C$1,MATCH("Checker"&amp;ADDRESS(ROW(),COLUMN(),4),L!$A:$A,0)-1,SL,,)</f>
        <v>Déclarez si toutes les informations applicables sur la fonderie de tungstène ont été fournies dans la cellule D65 de l'onglet Déclaration</v>
      </c>
    </row>
    <row r="53" spans="1:10" ht="25.5">
      <c r="A53" s="86" t="str">
        <f ca="1">Declaration!B74</f>
        <v>Question</v>
      </c>
      <c r="B53" s="89"/>
      <c r="C53" s="89"/>
      <c r="D53" s="93"/>
      <c r="E53" s="19" t="s">
        <v>426</v>
      </c>
      <c r="F53" s="90"/>
      <c r="G53" s="90"/>
      <c r="H53" s="90"/>
    </row>
    <row r="54" spans="1:10" ht="39">
      <c r="A54" s="86" t="str">
        <f ca="1">Declaration!B75</f>
        <v>A. Avez-vous mis en place une politique d’approvisionnement en minerais responsable ? (*)</v>
      </c>
      <c r="B54" s="86" t="str">
        <f>Declaration!D75</f>
        <v>Yes</v>
      </c>
      <c r="C54" s="86" t="str">
        <f t="shared" ref="C54:C60" ca="1" si="10">IF(H54=1,J54,I54)</f>
        <v>Complétez</v>
      </c>
      <c r="D54" s="92" t="str">
        <f>IF(H54=1,"Click here to answer question (A)","")</f>
        <v/>
      </c>
      <c r="E54" s="19" t="s">
        <v>1261</v>
      </c>
      <c r="F54" s="91">
        <f>IF(SUM(F$24:F$27)=0,0,1)</f>
        <v>1</v>
      </c>
      <c r="G54" s="67">
        <f>IF(B54=0,1,0)</f>
        <v>0</v>
      </c>
      <c r="H54" s="68">
        <f t="shared" ref="H54:H60" si="11">F54*G54</f>
        <v>0</v>
      </c>
      <c r="I54" s="142" t="str">
        <f ca="1">OFFSET(L!$C$1,MATCH("Checker"&amp;"Comp",L!$A:$A,0)-1,SL,,)</f>
        <v>Complétez</v>
      </c>
      <c r="J54" s="18" t="str">
        <f ca="1">OFFSET(L!$C$1,MATCH("Checker"&amp;ADDRESS(ROW(),COLUMN(),4),L!$A:$A,0)-1,SL,,)</f>
        <v>Répondez dans la cellule D75 de l’onglet Déclaration si votre entreprise est dotée d’une politique d’approvisionnement en minerais responsable.</v>
      </c>
    </row>
    <row r="55" spans="1:10" ht="54.75" customHeight="1">
      <c r="A55" s="86" t="str">
        <f ca="1">Declaration!B77</f>
        <v>B. La politique d’approvisionnement en minerais responsable est-elle disponible publiquement sur votre site Web ? (Remarque – Si la réponse est « oui », l’utilisateur doit indiquer l’URL dans le champ des commentaires). (*)</v>
      </c>
      <c r="B55" s="86" t="str">
        <f>Declaration!D77</f>
        <v>Yes</v>
      </c>
      <c r="C55" s="86" t="str">
        <f t="shared" ca="1" si="10"/>
        <v>Complétez</v>
      </c>
      <c r="D55" s="92" t="str">
        <f>IF(H55=1,"Click here to answer question (B)","")</f>
        <v/>
      </c>
      <c r="E55" s="19" t="s">
        <v>1261</v>
      </c>
      <c r="F55" s="91">
        <f t="shared" ref="F55" si="12">F$54</f>
        <v>1</v>
      </c>
      <c r="G55" s="67">
        <f>IF(B55=0,1,0)</f>
        <v>0</v>
      </c>
      <c r="H55" s="68">
        <f t="shared" si="11"/>
        <v>0</v>
      </c>
      <c r="I55" s="142" t="str">
        <f ca="1">OFFSET(L!$C$1,MATCH("Checker"&amp;"Comp",L!$A:$A,0)-1,SL,,)</f>
        <v>Complétez</v>
      </c>
      <c r="J55" s="18" t="str">
        <f ca="1">OFFSET(L!$C$1,MATCH("Checker"&amp;ADDRESS(ROW(),COLUMN(),4),L!$A:$A,0)-1,SL,,)</f>
        <v>Répondez dans la cellule D77 de l’onglet Déclaration si votre entreprise a rendu publiquement disponible sur son site Web sa politique d’approvisionnement en minerais responsable.</v>
      </c>
    </row>
    <row r="56" spans="1:10" ht="38.450000000000003" customHeight="1">
      <c r="A56" s="86" t="s">
        <v>3</v>
      </c>
      <c r="B56" s="86" t="str">
        <f>Declaration!G77</f>
        <v>interflux.com</v>
      </c>
      <c r="C56" s="86" t="str">
        <f t="shared" ca="1" si="10"/>
        <v>Complétez</v>
      </c>
      <c r="D56" s="92" t="str">
        <f>IF(H56=1,"Click here to specify URL for question (B)","")</f>
        <v/>
      </c>
      <c r="E56" s="19"/>
      <c r="F56" s="91">
        <f>IF(AND(F55=1,B55="Yes"),1,0)</f>
        <v>1</v>
      </c>
      <c r="G56" s="67">
        <f>IF(LEN(B56)&gt;1,0,1)</f>
        <v>0</v>
      </c>
      <c r="H56" s="68">
        <f t="shared" si="11"/>
        <v>0</v>
      </c>
      <c r="I56" s="142" t="str">
        <f ca="1">OFFSET(L!$C$1,MATCH("Checker"&amp;"Comp",L!$A:$A,0)-1,SL,,)</f>
        <v>Complétez</v>
      </c>
      <c r="J56" s="137" t="str">
        <f ca="1">OFFSET(L!$C$1,MATCH("Checker"&amp;ADDRESS(ROW(),COLUMN(),4),L!$A:$A,0)-1,SL,,)</f>
        <v>Saisissez l'URL dans la cellule D77 de l'onglet Déclaration si vous répondez par « Oui » à la question B. Le format de l'URL doit être : www.nomdelentreprise.com</v>
      </c>
    </row>
    <row r="57" spans="1:10" ht="63.75">
      <c r="A57" s="86" t="str">
        <f ca="1">Declaration!B79</f>
        <v>C. Est-ce que vous imposez à vos fournisseurs directs de s’approvisionner en 3TG auprès de fonderie dont les pratiques de diligence raisonnable ont été validées par un programme d’audit externe indépendant ?  (*)</v>
      </c>
      <c r="B57" s="86" t="str">
        <f>Declaration!D79</f>
        <v>Yes</v>
      </c>
      <c r="C57" s="86" t="str">
        <f t="shared" ca="1" si="10"/>
        <v>Complétez</v>
      </c>
      <c r="D57" s="92" t="str">
        <f>IF(H57=1,"Click here to answer question (C)","")</f>
        <v/>
      </c>
      <c r="E57" s="19" t="s">
        <v>1261</v>
      </c>
      <c r="F57" s="91">
        <f>F$54</f>
        <v>1</v>
      </c>
      <c r="G57" s="67">
        <f>IF(B57=0,1,0)</f>
        <v>0</v>
      </c>
      <c r="H57" s="68">
        <f t="shared" si="11"/>
        <v>0</v>
      </c>
      <c r="I57" s="142" t="str">
        <f ca="1">OFFSET(L!$C$1,MATCH("Checker"&amp;"Comp",L!$A:$A,0)-1,SL,,)</f>
        <v>Complétez</v>
      </c>
      <c r="J57" s="18"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39">
      <c r="A58" s="86" t="str">
        <f ca="1">Declaration!B81</f>
        <v>D. Avez-vous mis en œuvre des mesures de diligence raisonnable pour un approvisionnement responsable ? (*)</v>
      </c>
      <c r="B58" s="86" t="str">
        <f>Declaration!D81</f>
        <v>Yes</v>
      </c>
      <c r="C58" s="86" t="str">
        <f t="shared" ca="1" si="10"/>
        <v>Complétez</v>
      </c>
      <c r="D58" s="92" t="str">
        <f>IF(H58=1,"Click here to answer question (D)","")</f>
        <v/>
      </c>
      <c r="E58" s="19" t="s">
        <v>1261</v>
      </c>
      <c r="F58" s="91">
        <f>F$54</f>
        <v>1</v>
      </c>
      <c r="G58" s="67">
        <f>IF(B58=0,1,0)</f>
        <v>0</v>
      </c>
      <c r="H58" s="68">
        <f t="shared" si="11"/>
        <v>0</v>
      </c>
      <c r="I58" s="142" t="str">
        <f ca="1">OFFSET(L!$C$1,MATCH("Checker"&amp;"Comp",L!$A:$A,0)-1,SL,,)</f>
        <v>Complétez</v>
      </c>
      <c r="J58" s="18" t="str">
        <f ca="1">OFFSET(L!$C$1,MATCH("Checker"&amp;ADDRESS(ROW(),COLUMN(),4),L!$A:$A,0)-1,SL,,)</f>
        <v>Répondez dans la cellule D81 de l’onglet Déclaration si vous avez mis en œuvre des mesures de diligence raisonnable relatives à l’approvisionnement responsable.</v>
      </c>
    </row>
    <row r="59" spans="1:10" ht="39">
      <c r="A59" s="86" t="str">
        <f ca="1">Declaration!B83</f>
        <v>E. Votre société mène-t-elle des enquêtes sur les minerais de conflit auprès du/des fournisseur(s) concerné(s) ? (*)</v>
      </c>
      <c r="B59" s="86" t="str">
        <f>Declaration!D83</f>
        <v>Yes, in conformance with IPC1755 (e.g., CMRT)</v>
      </c>
      <c r="C59" s="86" t="str">
        <f t="shared" ca="1" si="10"/>
        <v>Complétez</v>
      </c>
      <c r="D59" s="92" t="str">
        <f>IF(H59=1,"Click here to answer question (E)","")</f>
        <v/>
      </c>
      <c r="E59" s="19" t="s">
        <v>1261</v>
      </c>
      <c r="F59" s="91">
        <f>F$54</f>
        <v>1</v>
      </c>
      <c r="G59" s="67">
        <f>IF(B59=0,1,0)</f>
        <v>0</v>
      </c>
      <c r="H59" s="68">
        <f t="shared" si="11"/>
        <v>0</v>
      </c>
      <c r="I59" s="142" t="str">
        <f ca="1">OFFSET(L!$C$1,MATCH("Checker"&amp;"Comp",L!$A:$A,0)-1,SL,,)</f>
        <v>Complétez</v>
      </c>
      <c r="J59" s="18" t="str">
        <f ca="1">OFFSET(L!$C$1,MATCH("Checker"&amp;ADDRESS(ROW(),COLUMN(),4),L!$A:$A,0)-1,SL,,)</f>
        <v>Répondez dans la cellule D83 de l'onglet Déclaration si vous demandez à vos fournisseurs de remplir ce modèle de rapport sur les minéraux en conflit</v>
      </c>
    </row>
    <row r="60" spans="1:10" ht="39">
      <c r="A60" s="86" t="str">
        <f ca="1">Declaration!B85</f>
        <v>F. Vérifiez-vous les informations de devoir de diligence reçues de vos fournisseurs par rapport aux attentes de votre entreprise?  (*)</v>
      </c>
      <c r="B60" s="86" t="str">
        <f>Declaration!D85</f>
        <v>Yes</v>
      </c>
      <c r="C60" s="86" t="str">
        <f t="shared" ca="1" si="10"/>
        <v>Complétez</v>
      </c>
      <c r="D60" s="92" t="str">
        <f>IF(H60=1,"Click here to answer question (F)","")</f>
        <v/>
      </c>
      <c r="E60" s="19" t="s">
        <v>1261</v>
      </c>
      <c r="F60" s="91">
        <f>F$54</f>
        <v>1</v>
      </c>
      <c r="G60" s="67">
        <f>IF(B60=0,1,0)</f>
        <v>0</v>
      </c>
      <c r="H60" s="68">
        <f t="shared" si="11"/>
        <v>0</v>
      </c>
      <c r="I60" s="142" t="str">
        <f ca="1">OFFSET(L!$C$1,MATCH("Checker"&amp;"Comp",L!$A:$A,0)-1,SL,,)</f>
        <v>Complétez</v>
      </c>
      <c r="J60" s="18" t="str">
        <f ca="1">OFFSET(L!$C$1,MATCH("Checker"&amp;ADDRESS(ROW(),COLUMN(),4),L!$A:$A,0)-1,SL,,)</f>
        <v>Répondez dans la cellule D85 de l'onglet Déclaration si vous validez les réponses de vos fournisseurs par rapport aux attentes de votre entreprise</v>
      </c>
    </row>
    <row r="61" spans="1:10" ht="15" hidden="1">
      <c r="A61" s="86"/>
      <c r="B61" s="86"/>
      <c r="C61" s="86"/>
      <c r="D61" s="92"/>
      <c r="E61" s="19"/>
      <c r="F61" s="91"/>
      <c r="G61" s="67"/>
      <c r="H61" s="68"/>
      <c r="I61" s="142"/>
    </row>
    <row r="62" spans="1:10" ht="39">
      <c r="A62" s="86" t="str">
        <f ca="1">Declaration!B87</f>
        <v>G. Votre processus de vérification inclut-il la gestion des actions correctives ?  (*)</v>
      </c>
      <c r="B62" s="86" t="str">
        <f>Declaration!D87</f>
        <v>Yes</v>
      </c>
      <c r="C62" s="86" t="str">
        <f t="shared" ref="C62:C68" ca="1" si="13">IF(H62=1,J62,I62)</f>
        <v>Complétez</v>
      </c>
      <c r="D62" s="92" t="str">
        <f>IF(H62=1,"Click here to answer question (G)","")</f>
        <v/>
      </c>
      <c r="E62" s="19" t="s">
        <v>1261</v>
      </c>
      <c r="F62" s="91">
        <f>F$54</f>
        <v>1</v>
      </c>
      <c r="G62" s="67">
        <f>IF(B62=0,1,0)</f>
        <v>0</v>
      </c>
      <c r="H62" s="68">
        <f t="shared" ref="H62:H69" si="14">F62*G62</f>
        <v>0</v>
      </c>
      <c r="I62" s="142" t="str">
        <f ca="1">OFFSET(L!$C$1,MATCH("Checker"&amp;"Comp",L!$A:$A,0)-1,SL,,)</f>
        <v>Complétez</v>
      </c>
      <c r="J62" s="18" t="str">
        <f ca="1">OFFSET(L!$C$1,MATCH("Checker"&amp;ADDRESS(ROW(),COLUMN(),4),L!$A:$A,0)-1,SL,,)</f>
        <v>Répondez dans la cellule D87 de l'onglet Déclaration si votre processus de validation comprend des actions correctives de la part de la direction</v>
      </c>
    </row>
    <row r="63" spans="1:10" ht="39">
      <c r="A63" s="86" t="str">
        <f ca="1">Declaration!B89</f>
        <v>H. Votre société est-elle tenue de fournir une déclaration annuelle sur les minerais de conflit ? (*)</v>
      </c>
      <c r="B63" s="86" t="str">
        <f>Declaration!D89</f>
        <v>No</v>
      </c>
      <c r="C63" s="86" t="str">
        <f t="shared" ca="1" si="13"/>
        <v>Complétez</v>
      </c>
      <c r="D63" s="92" t="str">
        <f>IF(H63=1,"Click here to answer question (H)","")</f>
        <v/>
      </c>
      <c r="E63" s="19" t="s">
        <v>1261</v>
      </c>
      <c r="F63" s="91">
        <f>F$54</f>
        <v>1</v>
      </c>
      <c r="G63" s="67">
        <f>IF(B63=0,1,0)</f>
        <v>0</v>
      </c>
      <c r="H63" s="68">
        <f t="shared" si="14"/>
        <v>0</v>
      </c>
      <c r="I63" s="142" t="str">
        <f ca="1">OFFSET(L!$C$1,MATCH("Checker"&amp;"Comp",L!$A:$A,0)-1,SL,,)</f>
        <v>Complétez</v>
      </c>
      <c r="J63" s="18" t="str">
        <f ca="1">OFFSET(L!$C$1,MATCH("Checker"&amp;ADDRESS(ROW(),COLUMN(),4),L!$A:$A,0)-1,SL,,)</f>
        <v>Répondez dans la cellule D89 de l’onglet Déclaration si vous êtes soumis aux exigences de divulgation de la SEC, de la réglementation de l’UE ou des deux.</v>
      </c>
    </row>
    <row r="64" spans="1:10" ht="39">
      <c r="A64" s="86" t="s">
        <v>1254</v>
      </c>
      <c r="B64" s="86" t="str">
        <f ca="1">IF(G64=1,"No products or item numbers listed","One or more product / item numbers have been provided")</f>
        <v>One or more product / item numbers have been provided</v>
      </c>
      <c r="C64" s="86" t="str">
        <f t="shared" ca="1" si="13"/>
        <v>Complétez</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Complétez</v>
      </c>
      <c r="J64" s="18"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39">
      <c r="A65" s="86" t="s">
        <v>14563</v>
      </c>
      <c r="B65" s="86"/>
      <c r="C65" s="86" t="str">
        <f t="shared" ca="1" si="13"/>
        <v>Complétez</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Complétez</v>
      </c>
      <c r="J65" s="18" t="str">
        <f ca="1">OFFSET(L!$C$1,MATCH("Checker"&amp;ADDRESS(ROW(),COLUMN(),4),L!$A:$A,0)-1,SL,,)</f>
        <v>Saisissez la liste de fondeurs de tantale qui contribuent de manière importante à la chaîne d'approvisionnement sur l'onglet Liste de fondeurs.</v>
      </c>
      <c r="K65" s="147">
        <f>IF(H14+H19&gt;0,1,0)</f>
        <v>0</v>
      </c>
      <c r="L65" s="18" t="e">
        <f ca="1">OFFSET(L!$C$1,MATCH("Checker"&amp;ADDRESS(ROW(),COLUMN(),4),L!$A:$A,0)-1,SL,,)</f>
        <v>#N/A</v>
      </c>
    </row>
    <row r="66" spans="1:12" ht="39">
      <c r="A66" s="86" t="s">
        <v>1761</v>
      </c>
      <c r="B66" s="86"/>
      <c r="C66" s="86" t="str">
        <f t="shared" ca="1" si="13"/>
        <v>Complétez</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Complétez</v>
      </c>
      <c r="J66" s="18" t="str">
        <f ca="1">OFFSET(L!$C$1,MATCH("Checker"&amp;ADDRESS(ROW(),COLUMN(),4),L!$A:$A,0)-1,SL,,)</f>
        <v>Saisissez la liste de fondeurs d'étain qui contribuent de manière importante à la chaîne d'approvisionnement sur l'onglet Liste de fondeurs.</v>
      </c>
      <c r="K66" s="147">
        <f>IF(H15+H20&gt;0,1,0)</f>
        <v>0</v>
      </c>
      <c r="L66" s="18" t="e">
        <f ca="1">OFFSET(L!$C$1,MATCH("Checker"&amp;ADDRESS(ROW(),COLUMN(),4),L!$A:$A,0)-1,SL,,)</f>
        <v>#N/A</v>
      </c>
    </row>
    <row r="67" spans="1:12" ht="39">
      <c r="A67" s="86" t="s">
        <v>1762</v>
      </c>
      <c r="B67" s="86"/>
      <c r="C67" s="86" t="str">
        <f t="shared" ca="1" si="13"/>
        <v>Complétez</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Complétez</v>
      </c>
      <c r="J67" s="18" t="str">
        <f ca="1">OFFSET(L!$C$1,MATCH("Checker"&amp;ADDRESS(ROW(),COLUMN(),4),L!$A:$A,0)-1,SL,,)</f>
        <v>Saisissez la liste de fondeurs d'or qui contribuent de manière importante à la chaîne d'approvisionnement sur l'onglet Liste de fondeurs.</v>
      </c>
      <c r="K67" s="147">
        <f>IF(H16+H21&gt;0,1,0)</f>
        <v>0</v>
      </c>
      <c r="L67" s="18" t="e">
        <f ca="1">OFFSET(L!$C$1,MATCH("Checker"&amp;ADDRESS(ROW(),COLUMN(),4),L!$A:$A,0)-1,SL,,)</f>
        <v>#N/A</v>
      </c>
    </row>
    <row r="68" spans="1:12" ht="39">
      <c r="A68" s="86" t="s">
        <v>1763</v>
      </c>
      <c r="B68" s="86"/>
      <c r="C68" s="86" t="str">
        <f t="shared" ca="1" si="13"/>
        <v>Complétez</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Complétez</v>
      </c>
      <c r="J68" s="18" t="str">
        <f ca="1">OFFSET(L!$C$1,MATCH("Checker"&amp;ADDRESS(ROW(),COLUMN(),4),L!$A:$A,0)-1,SL,,)</f>
        <v>Saisissez une liste de fondeurs de tungstène qui contribuent de manière importante à la chaîne d'approvisionnement sur l'onglet Liste de fondeurs.</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Complétez</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6" sqref="F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Champ à compléter uniquement si le périmètre "Produit (ou liste de produits)" a été sélectionné dans la feuille 'Déclaration'</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Référence du produit du répondant (*)</v>
      </c>
      <c r="C5" s="129" t="str">
        <f ca="1">OFFSET(L!$C$1,MATCH("Product List"&amp;ADDRESS(ROW(),COLUMN(),4),L!$A:$A,0)-1,SL,,)</f>
        <v>Nom du produit du répondant</v>
      </c>
      <c r="D5" s="129" t="str">
        <f ca="1">OFFSET(L!$C$1,MATCH("Product List"&amp;ADDRESS(ROW(),COLUMN(),4),L!$A:$A,0)-1,SL,,)</f>
        <v>Référence du produit du requérant</v>
      </c>
      <c r="E5" s="129" t="str">
        <f ca="1">OFFSET(L!$C$1,MATCH("Product List"&amp;ADDRESS(ROW(),COLUMN(),4),L!$A:$A,0)-1,SL,,)</f>
        <v>Nom du produit du requérant</v>
      </c>
      <c r="F5" s="69" t="str">
        <f ca="1">OFFSET(L!$C$1,MATCH("Product List"&amp;ADDRESS(ROW(),COLUMN(),4),L!$A:$A,0)-1,SL,,)</f>
        <v>Commentaires</v>
      </c>
      <c r="G5" s="23"/>
      <c r="H5"/>
    </row>
    <row r="6" spans="1:8" ht="31.5">
      <c r="A6" s="125"/>
      <c r="B6" s="257" t="s">
        <v>15887</v>
      </c>
      <c r="C6" s="95" t="s">
        <v>15887</v>
      </c>
      <c r="D6" s="95"/>
      <c r="E6" s="95"/>
      <c r="F6" s="95" t="s">
        <v>15888</v>
      </c>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Métal</v>
      </c>
      <c r="B4" s="175" t="str">
        <f ca="1">OFFSET(L!$C$1,MATCH("Smelter Look-up"&amp;ADDRESS(ROW(),COLUMN(),4),L!$A:$A,0)-1,SL,,)</f>
        <v>Recherche de fonderie (*)</v>
      </c>
      <c r="C4" s="175" t="str">
        <f ca="1">OFFSET(L!$C$1,MATCH("Smelter Look-up"&amp;ADDRESS(ROW(),COLUMN(),4),L!$A:$A,0)-1,SL,,)</f>
        <v>Noms standard des fonderies</v>
      </c>
      <c r="D4" s="175" t="str">
        <f ca="1">OFFSET(L!$C$1,MATCH("Smelter Look-up"&amp;ADDRESS(ROW(),COLUMN(),4),L!$A:$A,0)-1,SL,,)</f>
        <v xml:space="preserve">Localisation de la fonderie : pays </v>
      </c>
      <c r="E4" s="175" t="str">
        <f ca="1">OFFSET(L!$C$1,MATCH("Smelter Look-up"&amp;ADDRESS(ROW(),COLUMN(),4),L!$A:$A,0)-1,SL,,)</f>
        <v>Identifiant fonderie</v>
      </c>
      <c r="F4" s="175" t="str">
        <f ca="1">OFFSET(L!$C$1,MATCH("Smelter Look-up"&amp;ADDRESS(ROW(),COLUMN(),4),L!$A:$A,0)-1,SL,,)</f>
        <v>Type de l'identifiant de la fonderie</v>
      </c>
      <c r="G4" s="175" t="str">
        <f ca="1">OFFSET(L!$C$1,MATCH("Smelter Look-up"&amp;ADDRESS(ROW(),COLUMN(),4),L!$A:$A,0)-1,SL,,)</f>
        <v>Localisation de la fonderie : Rue et Numéro</v>
      </c>
      <c r="H4" s="175" t="str">
        <f ca="1">OFFSET(L!$C$1,MATCH("Smelter Look-up"&amp;ADDRESS(ROW(),COLUMN(),4),L!$A:$A,0)-1,SL,,)</f>
        <v>Localisation de la fonderie : Ville</v>
      </c>
      <c r="I4" s="175" t="str">
        <f ca="1">OFFSET(L!$C$1,MATCH("Smelter Look-up"&amp;ADDRESS(ROW(),COLUMN(),4),L!$A:$A,0)-1,SL,,)</f>
        <v>Localisation de la fonderie : Etat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Annick Peeters</cp:lastModifiedBy>
  <cp:lastPrinted>2015-04-21T20:47:43Z</cp:lastPrinted>
  <dcterms:created xsi:type="dcterms:W3CDTF">2010-06-21T21:00:23Z</dcterms:created>
  <dcterms:modified xsi:type="dcterms:W3CDTF">2026-04-24T14:15:48Z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